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\Documents\GAZOWCE\Files\"/>
    </mc:Choice>
  </mc:AlternateContent>
  <xr:revisionPtr revIDLastSave="0" documentId="13_ncr:1_{2D3C2AF0-F5ED-4E44-B280-0E6FE3BF0A28}" xr6:coauthVersionLast="47" xr6:coauthVersionMax="47" xr10:uidLastSave="{00000000-0000-0000-0000-000000000000}"/>
  <bookViews>
    <workbookView xWindow="46710" yWindow="180" windowWidth="30090" windowHeight="20700" xr2:uid="{00000000-000D-0000-FFFF-FFFF00000000}"/>
  </bookViews>
  <sheets>
    <sheet name="Consumption Inputs" sheetId="3" r:id="rId1"/>
    <sheet name="Free to multiply" sheetId="13" r:id="rId2"/>
    <sheet name="ETA by Speed" sheetId="12" r:id="rId3"/>
    <sheet name="Manual Input by Dates" sheetId="11" r:id="rId4"/>
    <sheet name="Manual Input by Speed" sheetId="10" r:id="rId5"/>
    <sheet name="Consumption by Dates" sheetId="5" r:id="rId6"/>
    <sheet name="Consumption by Speed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2" i="13" l="1"/>
  <c r="B42" i="13"/>
  <c r="P41" i="13"/>
  <c r="P40" i="13"/>
  <c r="P39" i="13"/>
  <c r="P38" i="13"/>
  <c r="P37" i="13"/>
  <c r="P36" i="13"/>
  <c r="P35" i="13"/>
  <c r="P34" i="13"/>
  <c r="P33" i="13"/>
  <c r="F33" i="13"/>
  <c r="F34" i="13" s="1"/>
  <c r="F35" i="13" s="1"/>
  <c r="F36" i="13" s="1"/>
  <c r="F37" i="13" s="1"/>
  <c r="F38" i="13" s="1"/>
  <c r="F39" i="13" s="1"/>
  <c r="F40" i="13" s="1"/>
  <c r="F41" i="13" s="1"/>
  <c r="F42" i="13" s="1"/>
  <c r="C33" i="13"/>
  <c r="C34" i="13" s="1"/>
  <c r="C35" i="13" s="1"/>
  <c r="C36" i="13" s="1"/>
  <c r="C37" i="13" s="1"/>
  <c r="C38" i="13" s="1"/>
  <c r="C39" i="13" s="1"/>
  <c r="C40" i="13" s="1"/>
  <c r="C41" i="13" s="1"/>
  <c r="C42" i="13" s="1"/>
  <c r="B33" i="13"/>
  <c r="P32" i="13"/>
  <c r="I32" i="13"/>
  <c r="H32" i="13" s="1"/>
  <c r="I33" i="13" l="1"/>
  <c r="H33" i="13" s="1"/>
  <c r="B34" i="13"/>
  <c r="G32" i="13"/>
  <c r="X32" i="13"/>
  <c r="I42" i="13"/>
  <c r="H42" i="13" s="1"/>
  <c r="M29" i="12"/>
  <c r="M28" i="12"/>
  <c r="M27" i="12"/>
  <c r="M26" i="12"/>
  <c r="M25" i="12"/>
  <c r="M24" i="12"/>
  <c r="M23" i="12"/>
  <c r="M22" i="12"/>
  <c r="M21" i="12"/>
  <c r="M20" i="12"/>
  <c r="M19" i="12"/>
  <c r="M16" i="12"/>
  <c r="M15" i="12"/>
  <c r="M14" i="12"/>
  <c r="M13" i="12"/>
  <c r="M12" i="12"/>
  <c r="M11" i="12"/>
  <c r="M10" i="12"/>
  <c r="M9" i="12"/>
  <c r="M8" i="12"/>
  <c r="M7" i="12"/>
  <c r="M6" i="12"/>
  <c r="P29" i="13"/>
  <c r="B29" i="13"/>
  <c r="P28" i="13"/>
  <c r="P27" i="13"/>
  <c r="P26" i="13"/>
  <c r="P25" i="13"/>
  <c r="P24" i="13"/>
  <c r="P23" i="13"/>
  <c r="P22" i="13"/>
  <c r="P21" i="13"/>
  <c r="B21" i="13"/>
  <c r="I21" i="13" s="1"/>
  <c r="H21" i="13" s="1"/>
  <c r="P20" i="13"/>
  <c r="F20" i="13"/>
  <c r="F21" i="13" s="1"/>
  <c r="F22" i="13" s="1"/>
  <c r="F23" i="13" s="1"/>
  <c r="F24" i="13" s="1"/>
  <c r="F25" i="13" s="1"/>
  <c r="F26" i="13" s="1"/>
  <c r="F27" i="13" s="1"/>
  <c r="F28" i="13" s="1"/>
  <c r="F29" i="13" s="1"/>
  <c r="C20" i="13"/>
  <c r="C21" i="13" s="1"/>
  <c r="C22" i="13" s="1"/>
  <c r="C23" i="13" s="1"/>
  <c r="C24" i="13" s="1"/>
  <c r="C25" i="13" s="1"/>
  <c r="C26" i="13" s="1"/>
  <c r="C27" i="13" s="1"/>
  <c r="C28" i="13" s="1"/>
  <c r="C29" i="13" s="1"/>
  <c r="B20" i="13"/>
  <c r="P19" i="13"/>
  <c r="I19" i="13"/>
  <c r="H19" i="13" s="1"/>
  <c r="P16" i="13"/>
  <c r="B16" i="13"/>
  <c r="I16" i="13" s="1"/>
  <c r="H16" i="13" s="1"/>
  <c r="P15" i="13"/>
  <c r="P14" i="13"/>
  <c r="P13" i="13"/>
  <c r="P12" i="13"/>
  <c r="P11" i="13"/>
  <c r="P10" i="13"/>
  <c r="P9" i="13"/>
  <c r="P8" i="13"/>
  <c r="C8" i="13"/>
  <c r="C9" i="13" s="1"/>
  <c r="C10" i="13" s="1"/>
  <c r="C11" i="13" s="1"/>
  <c r="C12" i="13" s="1"/>
  <c r="C13" i="13" s="1"/>
  <c r="C14" i="13" s="1"/>
  <c r="C15" i="13" s="1"/>
  <c r="C16" i="13" s="1"/>
  <c r="P7" i="13"/>
  <c r="F7" i="13"/>
  <c r="F8" i="13" s="1"/>
  <c r="F9" i="13" s="1"/>
  <c r="F10" i="13" s="1"/>
  <c r="F11" i="13" s="1"/>
  <c r="F12" i="13" s="1"/>
  <c r="F13" i="13" s="1"/>
  <c r="F14" i="13" s="1"/>
  <c r="F15" i="13" s="1"/>
  <c r="F16" i="13" s="1"/>
  <c r="E7" i="13"/>
  <c r="E8" i="13" s="1"/>
  <c r="E9" i="13" s="1"/>
  <c r="E10" i="13" s="1"/>
  <c r="E11" i="13" s="1"/>
  <c r="E12" i="13" s="1"/>
  <c r="E13" i="13" s="1"/>
  <c r="E14" i="13" s="1"/>
  <c r="E15" i="13" s="1"/>
  <c r="C7" i="13"/>
  <c r="B7" i="13"/>
  <c r="B8" i="13" s="1"/>
  <c r="P6" i="13"/>
  <c r="I6" i="13"/>
  <c r="H6" i="13" s="1"/>
  <c r="B29" i="12"/>
  <c r="B16" i="12"/>
  <c r="F20" i="12"/>
  <c r="F21" i="12" s="1"/>
  <c r="F22" i="12" s="1"/>
  <c r="F23" i="12" s="1"/>
  <c r="F24" i="12" s="1"/>
  <c r="F25" i="12" s="1"/>
  <c r="F26" i="12" s="1"/>
  <c r="F27" i="12" s="1"/>
  <c r="F28" i="12" s="1"/>
  <c r="F29" i="12" s="1"/>
  <c r="F7" i="12"/>
  <c r="F8" i="12" s="1"/>
  <c r="F9" i="12" s="1"/>
  <c r="F10" i="12" s="1"/>
  <c r="F11" i="12" s="1"/>
  <c r="F12" i="12" s="1"/>
  <c r="F13" i="12" s="1"/>
  <c r="F14" i="12" s="1"/>
  <c r="F15" i="12" s="1"/>
  <c r="F16" i="12" s="1"/>
  <c r="E7" i="12"/>
  <c r="E8" i="12" s="1"/>
  <c r="E9" i="12" s="1"/>
  <c r="E10" i="12" s="1"/>
  <c r="E11" i="12" s="1"/>
  <c r="E12" i="12" s="1"/>
  <c r="E13" i="12" s="1"/>
  <c r="E14" i="12" s="1"/>
  <c r="E15" i="12" s="1"/>
  <c r="C20" i="12"/>
  <c r="C21" i="12" s="1"/>
  <c r="C22" i="12" s="1"/>
  <c r="C23" i="12" s="1"/>
  <c r="C24" i="12" s="1"/>
  <c r="C25" i="12" s="1"/>
  <c r="C26" i="12" s="1"/>
  <c r="C27" i="12" s="1"/>
  <c r="C28" i="12" s="1"/>
  <c r="C29" i="12" s="1"/>
  <c r="C7" i="12"/>
  <c r="C8" i="12" s="1"/>
  <c r="C9" i="12" s="1"/>
  <c r="C10" i="12" s="1"/>
  <c r="C11" i="12" s="1"/>
  <c r="C12" i="12" s="1"/>
  <c r="C13" i="12" s="1"/>
  <c r="C14" i="12" s="1"/>
  <c r="C15" i="12" s="1"/>
  <c r="C16" i="12" s="1"/>
  <c r="B20" i="12"/>
  <c r="I20" i="12" s="1"/>
  <c r="H20" i="12" s="1"/>
  <c r="B7" i="12"/>
  <c r="B8" i="12" s="1"/>
  <c r="B9" i="12" s="1"/>
  <c r="B10" i="12" s="1"/>
  <c r="B11" i="12" s="1"/>
  <c r="B12" i="12" s="1"/>
  <c r="B13" i="12" s="1"/>
  <c r="I19" i="12"/>
  <c r="H19" i="12" s="1"/>
  <c r="I6" i="12"/>
  <c r="H6" i="12" s="1"/>
  <c r="K49" i="10"/>
  <c r="J49" i="10"/>
  <c r="I49" i="10"/>
  <c r="H49" i="10"/>
  <c r="G49" i="10"/>
  <c r="F49" i="10"/>
  <c r="D49" i="10"/>
  <c r="C49" i="10"/>
  <c r="B49" i="10"/>
  <c r="K48" i="10"/>
  <c r="J48" i="10"/>
  <c r="I48" i="10"/>
  <c r="H48" i="10"/>
  <c r="G48" i="10"/>
  <c r="F48" i="10"/>
  <c r="D48" i="10"/>
  <c r="C48" i="10"/>
  <c r="B48" i="10"/>
  <c r="K47" i="10"/>
  <c r="J47" i="10"/>
  <c r="I47" i="10"/>
  <c r="H47" i="10"/>
  <c r="G47" i="10"/>
  <c r="F47" i="10"/>
  <c r="D47" i="10"/>
  <c r="C47" i="10"/>
  <c r="B47" i="10"/>
  <c r="K46" i="10"/>
  <c r="J46" i="10"/>
  <c r="I46" i="10"/>
  <c r="H46" i="10"/>
  <c r="G46" i="10"/>
  <c r="F46" i="10"/>
  <c r="D46" i="10"/>
  <c r="C46" i="10"/>
  <c r="B46" i="10"/>
  <c r="K45" i="10"/>
  <c r="J45" i="10"/>
  <c r="I45" i="10"/>
  <c r="H45" i="10"/>
  <c r="G45" i="10"/>
  <c r="F45" i="10"/>
  <c r="D45" i="10"/>
  <c r="C45" i="10"/>
  <c r="B45" i="10"/>
  <c r="K44" i="10"/>
  <c r="J44" i="10"/>
  <c r="I44" i="10"/>
  <c r="H44" i="10"/>
  <c r="G44" i="10"/>
  <c r="F44" i="10"/>
  <c r="D44" i="10"/>
  <c r="C44" i="10"/>
  <c r="B44" i="10"/>
  <c r="K43" i="10"/>
  <c r="J43" i="10"/>
  <c r="I43" i="10"/>
  <c r="H43" i="10"/>
  <c r="G43" i="10"/>
  <c r="F43" i="10"/>
  <c r="D43" i="10"/>
  <c r="C43" i="10"/>
  <c r="B43" i="10"/>
  <c r="K42" i="10"/>
  <c r="J42" i="10"/>
  <c r="I42" i="10"/>
  <c r="H42" i="10"/>
  <c r="G42" i="10"/>
  <c r="F42" i="10"/>
  <c r="D42" i="10"/>
  <c r="C42" i="10"/>
  <c r="B42" i="10"/>
  <c r="K41" i="10"/>
  <c r="J41" i="10"/>
  <c r="I41" i="10"/>
  <c r="H41" i="10"/>
  <c r="G41" i="10"/>
  <c r="F41" i="10"/>
  <c r="D41" i="10"/>
  <c r="C41" i="10"/>
  <c r="B41" i="10"/>
  <c r="K40" i="10"/>
  <c r="J40" i="10"/>
  <c r="I40" i="10"/>
  <c r="H40" i="10"/>
  <c r="G40" i="10"/>
  <c r="F40" i="10"/>
  <c r="D40" i="10"/>
  <c r="C40" i="10"/>
  <c r="B40" i="10"/>
  <c r="K39" i="10"/>
  <c r="J39" i="10"/>
  <c r="I39" i="10"/>
  <c r="H39" i="10"/>
  <c r="G39" i="10"/>
  <c r="F39" i="10"/>
  <c r="D39" i="10"/>
  <c r="C39" i="10"/>
  <c r="B39" i="10"/>
  <c r="K38" i="10"/>
  <c r="J38" i="10"/>
  <c r="I38" i="10"/>
  <c r="H38" i="10"/>
  <c r="G38" i="10"/>
  <c r="F38" i="10"/>
  <c r="D38" i="10"/>
  <c r="C38" i="10"/>
  <c r="B38" i="10"/>
  <c r="K37" i="10"/>
  <c r="J37" i="10"/>
  <c r="I37" i="10"/>
  <c r="H37" i="10"/>
  <c r="G37" i="10"/>
  <c r="F37" i="10"/>
  <c r="D37" i="10"/>
  <c r="C37" i="10"/>
  <c r="B37" i="10"/>
  <c r="K49" i="11"/>
  <c r="J49" i="11"/>
  <c r="I49" i="11"/>
  <c r="H49" i="11"/>
  <c r="G49" i="11"/>
  <c r="F49" i="11"/>
  <c r="E49" i="11"/>
  <c r="D49" i="11"/>
  <c r="C49" i="11"/>
  <c r="B49" i="11"/>
  <c r="K48" i="11"/>
  <c r="J48" i="11"/>
  <c r="I48" i="11"/>
  <c r="H48" i="11"/>
  <c r="G48" i="11"/>
  <c r="F48" i="11"/>
  <c r="E48" i="11"/>
  <c r="D48" i="11"/>
  <c r="C48" i="11"/>
  <c r="B48" i="11"/>
  <c r="K47" i="11"/>
  <c r="J47" i="11"/>
  <c r="I47" i="11"/>
  <c r="H47" i="11"/>
  <c r="G47" i="11"/>
  <c r="F47" i="11"/>
  <c r="E47" i="11"/>
  <c r="D47" i="11"/>
  <c r="C47" i="11"/>
  <c r="B47" i="11"/>
  <c r="K46" i="11"/>
  <c r="J46" i="11"/>
  <c r="I46" i="11"/>
  <c r="H46" i="11"/>
  <c r="G46" i="11"/>
  <c r="F46" i="11"/>
  <c r="E46" i="11"/>
  <c r="D46" i="11"/>
  <c r="C46" i="11"/>
  <c r="B46" i="11"/>
  <c r="K45" i="11"/>
  <c r="J45" i="11"/>
  <c r="I45" i="11"/>
  <c r="H45" i="11"/>
  <c r="G45" i="11"/>
  <c r="F45" i="11"/>
  <c r="E45" i="11"/>
  <c r="D45" i="11"/>
  <c r="C45" i="11"/>
  <c r="B45" i="11"/>
  <c r="K44" i="11"/>
  <c r="J44" i="11"/>
  <c r="I44" i="11"/>
  <c r="H44" i="11"/>
  <c r="G44" i="11"/>
  <c r="F44" i="11"/>
  <c r="E44" i="11"/>
  <c r="D44" i="11"/>
  <c r="C44" i="11"/>
  <c r="B44" i="11"/>
  <c r="K43" i="11"/>
  <c r="J43" i="11"/>
  <c r="I43" i="11"/>
  <c r="H43" i="11"/>
  <c r="G43" i="11"/>
  <c r="F43" i="11"/>
  <c r="E43" i="11"/>
  <c r="D43" i="11"/>
  <c r="C43" i="11"/>
  <c r="B43" i="11"/>
  <c r="K42" i="11"/>
  <c r="J42" i="11"/>
  <c r="I42" i="11"/>
  <c r="H42" i="11"/>
  <c r="G42" i="11"/>
  <c r="F42" i="11"/>
  <c r="E42" i="11"/>
  <c r="D42" i="11"/>
  <c r="C42" i="11"/>
  <c r="B42" i="11"/>
  <c r="K41" i="11"/>
  <c r="J41" i="11"/>
  <c r="I41" i="11"/>
  <c r="H41" i="11"/>
  <c r="G41" i="11"/>
  <c r="F41" i="11"/>
  <c r="E41" i="11"/>
  <c r="D41" i="11"/>
  <c r="C41" i="11"/>
  <c r="B41" i="11"/>
  <c r="K40" i="11"/>
  <c r="J40" i="11"/>
  <c r="I40" i="11"/>
  <c r="H40" i="11"/>
  <c r="G40" i="11"/>
  <c r="F40" i="11"/>
  <c r="E40" i="11"/>
  <c r="D40" i="11"/>
  <c r="C40" i="11"/>
  <c r="B40" i="11"/>
  <c r="K39" i="11"/>
  <c r="J39" i="11"/>
  <c r="I39" i="11"/>
  <c r="H39" i="11"/>
  <c r="G39" i="11"/>
  <c r="F39" i="11"/>
  <c r="E39" i="11"/>
  <c r="D39" i="11"/>
  <c r="C39" i="11"/>
  <c r="B39" i="11"/>
  <c r="K38" i="11"/>
  <c r="J38" i="11"/>
  <c r="I38" i="11"/>
  <c r="H38" i="11"/>
  <c r="G38" i="11"/>
  <c r="F38" i="11"/>
  <c r="E38" i="11"/>
  <c r="D38" i="11"/>
  <c r="C38" i="11"/>
  <c r="B38" i="11"/>
  <c r="K37" i="11"/>
  <c r="J37" i="11"/>
  <c r="I37" i="11"/>
  <c r="H37" i="11"/>
  <c r="G37" i="11"/>
  <c r="F37" i="11"/>
  <c r="E37" i="11"/>
  <c r="D37" i="11"/>
  <c r="C37" i="11"/>
  <c r="B37" i="11"/>
  <c r="H34" i="11"/>
  <c r="E34" i="11"/>
  <c r="H33" i="11"/>
  <c r="E33" i="11"/>
  <c r="H32" i="11"/>
  <c r="H31" i="11"/>
  <c r="E31" i="11"/>
  <c r="C31" i="11"/>
  <c r="B31" i="11"/>
  <c r="L24" i="11"/>
  <c r="M24" i="11" s="1"/>
  <c r="L23" i="11"/>
  <c r="M23" i="11" s="1"/>
  <c r="L22" i="11"/>
  <c r="M22" i="11" s="1"/>
  <c r="M21" i="11"/>
  <c r="L21" i="11"/>
  <c r="L20" i="11"/>
  <c r="M20" i="11" s="1"/>
  <c r="L19" i="11"/>
  <c r="M19" i="11" s="1"/>
  <c r="L18" i="11"/>
  <c r="M18" i="11" s="1"/>
  <c r="L17" i="11"/>
  <c r="M17" i="11" s="1"/>
  <c r="L16" i="11"/>
  <c r="M16" i="11" s="1"/>
  <c r="L15" i="11"/>
  <c r="M15" i="11" s="1"/>
  <c r="L14" i="11"/>
  <c r="M14" i="11" s="1"/>
  <c r="L13" i="11"/>
  <c r="M13" i="11" s="1"/>
  <c r="M12" i="11"/>
  <c r="L12" i="11"/>
  <c r="L11" i="11"/>
  <c r="L10" i="11"/>
  <c r="L9" i="11"/>
  <c r="M9" i="11" s="1"/>
  <c r="C34" i="11" s="1"/>
  <c r="L8" i="11"/>
  <c r="M8" i="11" s="1"/>
  <c r="C33" i="11" s="1"/>
  <c r="L7" i="11"/>
  <c r="M6" i="11"/>
  <c r="L6" i="11"/>
  <c r="I31" i="11" s="1"/>
  <c r="L5" i="11"/>
  <c r="B30" i="11" s="1"/>
  <c r="B13" i="5"/>
  <c r="B14" i="5"/>
  <c r="B15" i="5"/>
  <c r="B16" i="5"/>
  <c r="B17" i="5"/>
  <c r="B18" i="5"/>
  <c r="B19" i="5"/>
  <c r="B20" i="5"/>
  <c r="B21" i="5"/>
  <c r="B22" i="5"/>
  <c r="B23" i="5"/>
  <c r="B24" i="5"/>
  <c r="C13" i="5"/>
  <c r="C14" i="5"/>
  <c r="C15" i="5"/>
  <c r="C16" i="5"/>
  <c r="C17" i="5"/>
  <c r="C18" i="5"/>
  <c r="C19" i="5"/>
  <c r="C20" i="5"/>
  <c r="C21" i="5"/>
  <c r="C22" i="5"/>
  <c r="C23" i="5"/>
  <c r="C24" i="5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F25" i="11"/>
  <c r="K98" i="9"/>
  <c r="K123" i="9" s="1"/>
  <c r="K97" i="9"/>
  <c r="K122" i="9" s="1"/>
  <c r="K96" i="9"/>
  <c r="K121" i="9" s="1"/>
  <c r="K95" i="9"/>
  <c r="K120" i="9" s="1"/>
  <c r="K94" i="9"/>
  <c r="K119" i="9" s="1"/>
  <c r="K93" i="9"/>
  <c r="K118" i="9" s="1"/>
  <c r="K92" i="9"/>
  <c r="K117" i="9" s="1"/>
  <c r="K91" i="9"/>
  <c r="K116" i="9" s="1"/>
  <c r="K90" i="9"/>
  <c r="K89" i="9"/>
  <c r="K114" i="9" s="1"/>
  <c r="K88" i="9"/>
  <c r="K113" i="9" s="1"/>
  <c r="K87" i="9"/>
  <c r="K112" i="9" s="1"/>
  <c r="K86" i="9"/>
  <c r="K111" i="9" s="1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E25" i="10"/>
  <c r="C12" i="10"/>
  <c r="C11" i="10"/>
  <c r="C10" i="10"/>
  <c r="C9" i="10"/>
  <c r="C8" i="10"/>
  <c r="C7" i="10"/>
  <c r="C6" i="10"/>
  <c r="N5" i="10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N5" i="9"/>
  <c r="M5" i="9" s="1"/>
  <c r="F5" i="9" s="1"/>
  <c r="B6" i="9" s="1"/>
  <c r="N6" i="9" s="1"/>
  <c r="M6" i="9" s="1"/>
  <c r="C6" i="9"/>
  <c r="C7" i="9"/>
  <c r="J98" i="9"/>
  <c r="J123" i="9" s="1"/>
  <c r="I98" i="9"/>
  <c r="I123" i="9" s="1"/>
  <c r="H98" i="9"/>
  <c r="H123" i="9" s="1"/>
  <c r="G98" i="9"/>
  <c r="G123" i="9" s="1"/>
  <c r="F98" i="9"/>
  <c r="F123" i="9" s="1"/>
  <c r="E98" i="9"/>
  <c r="E123" i="9" s="1"/>
  <c r="D98" i="9"/>
  <c r="D123" i="9" s="1"/>
  <c r="C98" i="9"/>
  <c r="C123" i="9" s="1"/>
  <c r="B98" i="9"/>
  <c r="B123" i="9" s="1"/>
  <c r="J97" i="9"/>
  <c r="J122" i="9" s="1"/>
  <c r="I97" i="9"/>
  <c r="I122" i="9" s="1"/>
  <c r="H97" i="9"/>
  <c r="H122" i="9" s="1"/>
  <c r="G97" i="9"/>
  <c r="G122" i="9" s="1"/>
  <c r="F97" i="9"/>
  <c r="F122" i="9" s="1"/>
  <c r="E97" i="9"/>
  <c r="E122" i="9" s="1"/>
  <c r="D97" i="9"/>
  <c r="D122" i="9" s="1"/>
  <c r="C97" i="9"/>
  <c r="C122" i="9" s="1"/>
  <c r="B97" i="9"/>
  <c r="B122" i="9" s="1"/>
  <c r="J96" i="9"/>
  <c r="J121" i="9" s="1"/>
  <c r="I96" i="9"/>
  <c r="I121" i="9" s="1"/>
  <c r="H96" i="9"/>
  <c r="H121" i="9" s="1"/>
  <c r="G96" i="9"/>
  <c r="G121" i="9" s="1"/>
  <c r="F96" i="9"/>
  <c r="F121" i="9" s="1"/>
  <c r="E96" i="9"/>
  <c r="E121" i="9" s="1"/>
  <c r="D96" i="9"/>
  <c r="D121" i="9" s="1"/>
  <c r="C96" i="9"/>
  <c r="C121" i="9" s="1"/>
  <c r="B96" i="9"/>
  <c r="B121" i="9" s="1"/>
  <c r="J95" i="9"/>
  <c r="J120" i="9" s="1"/>
  <c r="I95" i="9"/>
  <c r="I120" i="9" s="1"/>
  <c r="H95" i="9"/>
  <c r="H120" i="9" s="1"/>
  <c r="G95" i="9"/>
  <c r="G120" i="9" s="1"/>
  <c r="F95" i="9"/>
  <c r="F120" i="9" s="1"/>
  <c r="E95" i="9"/>
  <c r="E120" i="9" s="1"/>
  <c r="D95" i="9"/>
  <c r="D120" i="9" s="1"/>
  <c r="C95" i="9"/>
  <c r="C120" i="9" s="1"/>
  <c r="B95" i="9"/>
  <c r="B120" i="9" s="1"/>
  <c r="J94" i="9"/>
  <c r="J119" i="9" s="1"/>
  <c r="I94" i="9"/>
  <c r="I119" i="9" s="1"/>
  <c r="H94" i="9"/>
  <c r="H119" i="9" s="1"/>
  <c r="G94" i="9"/>
  <c r="G119" i="9" s="1"/>
  <c r="F94" i="9"/>
  <c r="F119" i="9" s="1"/>
  <c r="E94" i="9"/>
  <c r="E119" i="9" s="1"/>
  <c r="D94" i="9"/>
  <c r="D119" i="9" s="1"/>
  <c r="C94" i="9"/>
  <c r="C119" i="9" s="1"/>
  <c r="B94" i="9"/>
  <c r="B119" i="9" s="1"/>
  <c r="J93" i="9"/>
  <c r="J118" i="9" s="1"/>
  <c r="I93" i="9"/>
  <c r="I118" i="9" s="1"/>
  <c r="H93" i="9"/>
  <c r="H118" i="9" s="1"/>
  <c r="G93" i="9"/>
  <c r="G118" i="9" s="1"/>
  <c r="F93" i="9"/>
  <c r="F118" i="9" s="1"/>
  <c r="E93" i="9"/>
  <c r="E118" i="9" s="1"/>
  <c r="D93" i="9"/>
  <c r="D118" i="9" s="1"/>
  <c r="C93" i="9"/>
  <c r="C118" i="9" s="1"/>
  <c r="B93" i="9"/>
  <c r="B118" i="9" s="1"/>
  <c r="J92" i="9"/>
  <c r="J117" i="9" s="1"/>
  <c r="I92" i="9"/>
  <c r="I117" i="9" s="1"/>
  <c r="H92" i="9"/>
  <c r="H117" i="9" s="1"/>
  <c r="G92" i="9"/>
  <c r="G117" i="9" s="1"/>
  <c r="F92" i="9"/>
  <c r="F117" i="9" s="1"/>
  <c r="E92" i="9"/>
  <c r="E117" i="9" s="1"/>
  <c r="D92" i="9"/>
  <c r="D117" i="9" s="1"/>
  <c r="C92" i="9"/>
  <c r="C117" i="9" s="1"/>
  <c r="B92" i="9"/>
  <c r="B117" i="9" s="1"/>
  <c r="J91" i="9"/>
  <c r="J116" i="9" s="1"/>
  <c r="I91" i="9"/>
  <c r="I116" i="9" s="1"/>
  <c r="H91" i="9"/>
  <c r="H116" i="9" s="1"/>
  <c r="G91" i="9"/>
  <c r="G116" i="9" s="1"/>
  <c r="F91" i="9"/>
  <c r="F116" i="9" s="1"/>
  <c r="E91" i="9"/>
  <c r="E116" i="9" s="1"/>
  <c r="D91" i="9"/>
  <c r="D116" i="9" s="1"/>
  <c r="C91" i="9"/>
  <c r="C116" i="9" s="1"/>
  <c r="B91" i="9"/>
  <c r="B116" i="9" s="1"/>
  <c r="K115" i="9"/>
  <c r="J90" i="9"/>
  <c r="J115" i="9" s="1"/>
  <c r="I90" i="9"/>
  <c r="I115" i="9" s="1"/>
  <c r="H90" i="9"/>
  <c r="H115" i="9" s="1"/>
  <c r="G90" i="9"/>
  <c r="G115" i="9" s="1"/>
  <c r="F90" i="9"/>
  <c r="F115" i="9" s="1"/>
  <c r="E90" i="9"/>
  <c r="E115" i="9" s="1"/>
  <c r="D90" i="9"/>
  <c r="D115" i="9" s="1"/>
  <c r="C90" i="9"/>
  <c r="C115" i="9" s="1"/>
  <c r="B90" i="9"/>
  <c r="B115" i="9" s="1"/>
  <c r="J89" i="9"/>
  <c r="J114" i="9" s="1"/>
  <c r="I89" i="9"/>
  <c r="I114" i="9" s="1"/>
  <c r="H89" i="9"/>
  <c r="H114" i="9" s="1"/>
  <c r="G89" i="9"/>
  <c r="G114" i="9" s="1"/>
  <c r="F89" i="9"/>
  <c r="F114" i="9" s="1"/>
  <c r="E89" i="9"/>
  <c r="E114" i="9" s="1"/>
  <c r="D89" i="9"/>
  <c r="D114" i="9" s="1"/>
  <c r="C89" i="9"/>
  <c r="C114" i="9" s="1"/>
  <c r="B89" i="9"/>
  <c r="B114" i="9" s="1"/>
  <c r="J88" i="9"/>
  <c r="J113" i="9" s="1"/>
  <c r="I88" i="9"/>
  <c r="I113" i="9" s="1"/>
  <c r="H88" i="9"/>
  <c r="H113" i="9" s="1"/>
  <c r="G88" i="9"/>
  <c r="G113" i="9" s="1"/>
  <c r="F88" i="9"/>
  <c r="F113" i="9" s="1"/>
  <c r="E88" i="9"/>
  <c r="E113" i="9" s="1"/>
  <c r="D88" i="9"/>
  <c r="D113" i="9" s="1"/>
  <c r="C88" i="9"/>
  <c r="C113" i="9" s="1"/>
  <c r="B88" i="9"/>
  <c r="B113" i="9" s="1"/>
  <c r="J87" i="9"/>
  <c r="J112" i="9" s="1"/>
  <c r="I87" i="9"/>
  <c r="I112" i="9" s="1"/>
  <c r="H87" i="9"/>
  <c r="H112" i="9" s="1"/>
  <c r="G87" i="9"/>
  <c r="G112" i="9" s="1"/>
  <c r="F87" i="9"/>
  <c r="F112" i="9" s="1"/>
  <c r="E87" i="9"/>
  <c r="E112" i="9" s="1"/>
  <c r="D87" i="9"/>
  <c r="D112" i="9" s="1"/>
  <c r="C87" i="9"/>
  <c r="C112" i="9" s="1"/>
  <c r="B87" i="9"/>
  <c r="B112" i="9" s="1"/>
  <c r="J86" i="9"/>
  <c r="J111" i="9" s="1"/>
  <c r="I86" i="9"/>
  <c r="I111" i="9" s="1"/>
  <c r="H86" i="9"/>
  <c r="H111" i="9" s="1"/>
  <c r="G86" i="9"/>
  <c r="G111" i="9" s="1"/>
  <c r="F86" i="9"/>
  <c r="F111" i="9" s="1"/>
  <c r="E86" i="9"/>
  <c r="E111" i="9" s="1"/>
  <c r="D86" i="9"/>
  <c r="D111" i="9" s="1"/>
  <c r="C86" i="9"/>
  <c r="C111" i="9" s="1"/>
  <c r="B86" i="9"/>
  <c r="B111" i="9" s="1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E35" i="9"/>
  <c r="AE34" i="9"/>
  <c r="AE33" i="9"/>
  <c r="AE32" i="9"/>
  <c r="AE31" i="9"/>
  <c r="AE30" i="9"/>
  <c r="E25" i="9"/>
  <c r="BB24" i="9"/>
  <c r="X24" i="9"/>
  <c r="AD74" i="9" s="1"/>
  <c r="V24" i="9"/>
  <c r="T24" i="9"/>
  <c r="AC74" i="9" s="1"/>
  <c r="R24" i="9"/>
  <c r="C24" i="9"/>
  <c r="BB23" i="9"/>
  <c r="X23" i="9"/>
  <c r="AD73" i="9" s="1"/>
  <c r="V23" i="9"/>
  <c r="T23" i="9"/>
  <c r="R23" i="9"/>
  <c r="C23" i="9"/>
  <c r="BB22" i="9"/>
  <c r="X22" i="9"/>
  <c r="AD72" i="9" s="1"/>
  <c r="V22" i="9"/>
  <c r="T22" i="9"/>
  <c r="AC72" i="9" s="1"/>
  <c r="R22" i="9"/>
  <c r="C22" i="9"/>
  <c r="BB21" i="9"/>
  <c r="X21" i="9"/>
  <c r="V21" i="9"/>
  <c r="AZ21" i="9" s="1"/>
  <c r="T21" i="9"/>
  <c r="R21" i="9"/>
  <c r="C21" i="9"/>
  <c r="BB20" i="9"/>
  <c r="X20" i="9"/>
  <c r="AD70" i="9" s="1"/>
  <c r="V20" i="9"/>
  <c r="T20" i="9"/>
  <c r="R20" i="9"/>
  <c r="C20" i="9"/>
  <c r="BB19" i="9"/>
  <c r="X19" i="9"/>
  <c r="V19" i="9"/>
  <c r="T19" i="9"/>
  <c r="AC69" i="9" s="1"/>
  <c r="R19" i="9"/>
  <c r="C19" i="9"/>
  <c r="BB18" i="9"/>
  <c r="X18" i="9"/>
  <c r="AD68" i="9" s="1"/>
  <c r="V18" i="9"/>
  <c r="T18" i="9"/>
  <c r="AC68" i="9" s="1"/>
  <c r="R18" i="9"/>
  <c r="C18" i="9"/>
  <c r="BB17" i="9"/>
  <c r="X17" i="9"/>
  <c r="AD67" i="9" s="1"/>
  <c r="V17" i="9"/>
  <c r="T17" i="9"/>
  <c r="R17" i="9"/>
  <c r="C17" i="9"/>
  <c r="BB16" i="9"/>
  <c r="X16" i="9"/>
  <c r="AD66" i="9" s="1"/>
  <c r="V16" i="9"/>
  <c r="T16" i="9"/>
  <c r="AU16" i="9" s="1"/>
  <c r="R16" i="9"/>
  <c r="C16" i="9"/>
  <c r="BB15" i="9"/>
  <c r="X15" i="9"/>
  <c r="AD65" i="9" s="1"/>
  <c r="V15" i="9"/>
  <c r="AE65" i="9" s="1"/>
  <c r="T15" i="9"/>
  <c r="AL15" i="9" s="1"/>
  <c r="R15" i="9"/>
  <c r="C15" i="9"/>
  <c r="BB14" i="9"/>
  <c r="X14" i="9"/>
  <c r="V14" i="9"/>
  <c r="T14" i="9"/>
  <c r="R14" i="9"/>
  <c r="C14" i="9"/>
  <c r="BB13" i="9"/>
  <c r="X13" i="9"/>
  <c r="AD63" i="9" s="1"/>
  <c r="V13" i="9"/>
  <c r="T13" i="9"/>
  <c r="R13" i="9"/>
  <c r="C13" i="9"/>
  <c r="BB12" i="9"/>
  <c r="X12" i="9"/>
  <c r="AD62" i="9" s="1"/>
  <c r="V12" i="9"/>
  <c r="T12" i="9"/>
  <c r="R12" i="9"/>
  <c r="C12" i="9"/>
  <c r="BB11" i="9"/>
  <c r="AE11" i="9"/>
  <c r="X11" i="9"/>
  <c r="V11" i="9"/>
  <c r="AY11" i="9" s="1"/>
  <c r="T11" i="9"/>
  <c r="AR11" i="9" s="1"/>
  <c r="R11" i="9"/>
  <c r="C11" i="9"/>
  <c r="BB10" i="9"/>
  <c r="X10" i="9"/>
  <c r="AD60" i="9" s="1"/>
  <c r="V10" i="9"/>
  <c r="T10" i="9"/>
  <c r="R10" i="9"/>
  <c r="C10" i="9"/>
  <c r="BB9" i="9"/>
  <c r="X9" i="9"/>
  <c r="V9" i="9"/>
  <c r="T9" i="9"/>
  <c r="R9" i="9"/>
  <c r="C9" i="9"/>
  <c r="BB8" i="9"/>
  <c r="X8" i="9"/>
  <c r="AD58" i="9" s="1"/>
  <c r="V8" i="9"/>
  <c r="T8" i="9"/>
  <c r="R8" i="9"/>
  <c r="C8" i="9"/>
  <c r="BB7" i="9"/>
  <c r="X7" i="9"/>
  <c r="V7" i="9"/>
  <c r="T7" i="9"/>
  <c r="R7" i="9"/>
  <c r="BB6" i="9"/>
  <c r="X6" i="9"/>
  <c r="AD56" i="9" s="1"/>
  <c r="V6" i="9"/>
  <c r="T6" i="9"/>
  <c r="R6" i="9"/>
  <c r="BB5" i="9"/>
  <c r="X5" i="9"/>
  <c r="V5" i="9"/>
  <c r="T5" i="9"/>
  <c r="R5" i="9"/>
  <c r="I112" i="5"/>
  <c r="I98" i="5"/>
  <c r="I123" i="5" s="1"/>
  <c r="I97" i="5"/>
  <c r="I122" i="5" s="1"/>
  <c r="I96" i="5"/>
  <c r="I121" i="5" s="1"/>
  <c r="I95" i="5"/>
  <c r="I120" i="5" s="1"/>
  <c r="I94" i="5"/>
  <c r="I119" i="5" s="1"/>
  <c r="I93" i="5"/>
  <c r="I118" i="5" s="1"/>
  <c r="I92" i="5"/>
  <c r="I117" i="5" s="1"/>
  <c r="I91" i="5"/>
  <c r="I116" i="5" s="1"/>
  <c r="I90" i="5"/>
  <c r="I115" i="5" s="1"/>
  <c r="I89" i="5"/>
  <c r="I114" i="5" s="1"/>
  <c r="I88" i="5"/>
  <c r="I113" i="5" s="1"/>
  <c r="I87" i="5"/>
  <c r="I86" i="5"/>
  <c r="I111" i="5" s="1"/>
  <c r="H98" i="5"/>
  <c r="H123" i="5" s="1"/>
  <c r="H97" i="5"/>
  <c r="H122" i="5" s="1"/>
  <c r="H96" i="5"/>
  <c r="H121" i="5" s="1"/>
  <c r="H95" i="5"/>
  <c r="H120" i="5" s="1"/>
  <c r="H94" i="5"/>
  <c r="H119" i="5" s="1"/>
  <c r="H93" i="5"/>
  <c r="H118" i="5" s="1"/>
  <c r="H92" i="5"/>
  <c r="H117" i="5" s="1"/>
  <c r="H91" i="5"/>
  <c r="H116" i="5" s="1"/>
  <c r="H90" i="5"/>
  <c r="H115" i="5" s="1"/>
  <c r="H89" i="5"/>
  <c r="H114" i="5" s="1"/>
  <c r="H88" i="5"/>
  <c r="H113" i="5" s="1"/>
  <c r="H87" i="5"/>
  <c r="H112" i="5" s="1"/>
  <c r="H86" i="5"/>
  <c r="H111" i="5" s="1"/>
  <c r="G98" i="5"/>
  <c r="G123" i="5" s="1"/>
  <c r="G97" i="5"/>
  <c r="G122" i="5" s="1"/>
  <c r="G96" i="5"/>
  <c r="G121" i="5" s="1"/>
  <c r="G95" i="5"/>
  <c r="G120" i="5" s="1"/>
  <c r="G94" i="5"/>
  <c r="G119" i="5" s="1"/>
  <c r="G93" i="5"/>
  <c r="G118" i="5" s="1"/>
  <c r="G92" i="5"/>
  <c r="G117" i="5" s="1"/>
  <c r="G91" i="5"/>
  <c r="G116" i="5" s="1"/>
  <c r="G90" i="5"/>
  <c r="G115" i="5" s="1"/>
  <c r="G89" i="5"/>
  <c r="G114" i="5" s="1"/>
  <c r="G88" i="5"/>
  <c r="G113" i="5" s="1"/>
  <c r="G87" i="5"/>
  <c r="G112" i="5" s="1"/>
  <c r="G86" i="5"/>
  <c r="G111" i="5" s="1"/>
  <c r="F98" i="5"/>
  <c r="F123" i="5" s="1"/>
  <c r="F97" i="5"/>
  <c r="F122" i="5" s="1"/>
  <c r="F96" i="5"/>
  <c r="F121" i="5" s="1"/>
  <c r="F95" i="5"/>
  <c r="F120" i="5" s="1"/>
  <c r="F94" i="5"/>
  <c r="F119" i="5" s="1"/>
  <c r="F93" i="5"/>
  <c r="F118" i="5" s="1"/>
  <c r="F92" i="5"/>
  <c r="F117" i="5" s="1"/>
  <c r="F91" i="5"/>
  <c r="F116" i="5" s="1"/>
  <c r="F90" i="5"/>
  <c r="F115" i="5" s="1"/>
  <c r="F89" i="5"/>
  <c r="F114" i="5" s="1"/>
  <c r="F88" i="5"/>
  <c r="F113" i="5" s="1"/>
  <c r="F87" i="5"/>
  <c r="F112" i="5" s="1"/>
  <c r="F86" i="5"/>
  <c r="F111" i="5" s="1"/>
  <c r="E98" i="5"/>
  <c r="E123" i="5" s="1"/>
  <c r="E97" i="5"/>
  <c r="E122" i="5" s="1"/>
  <c r="E96" i="5"/>
  <c r="E121" i="5" s="1"/>
  <c r="E95" i="5"/>
  <c r="E120" i="5" s="1"/>
  <c r="E94" i="5"/>
  <c r="E119" i="5" s="1"/>
  <c r="E93" i="5"/>
  <c r="E118" i="5" s="1"/>
  <c r="E92" i="5"/>
  <c r="E117" i="5" s="1"/>
  <c r="E91" i="5"/>
  <c r="E116" i="5" s="1"/>
  <c r="E90" i="5"/>
  <c r="E115" i="5" s="1"/>
  <c r="E89" i="5"/>
  <c r="E114" i="5" s="1"/>
  <c r="E88" i="5"/>
  <c r="E113" i="5" s="1"/>
  <c r="E87" i="5"/>
  <c r="E112" i="5" s="1"/>
  <c r="E86" i="5"/>
  <c r="E111" i="5" s="1"/>
  <c r="M7" i="11" l="1"/>
  <c r="C32" i="11" s="1"/>
  <c r="B32" i="11"/>
  <c r="I32" i="11"/>
  <c r="G32" i="11"/>
  <c r="E32" i="11"/>
  <c r="F32" i="11"/>
  <c r="J31" i="11"/>
  <c r="K31" i="11" s="1"/>
  <c r="J34" i="11"/>
  <c r="K34" i="11" s="1"/>
  <c r="AD71" i="9"/>
  <c r="AE21" i="9"/>
  <c r="M11" i="11"/>
  <c r="C36" i="11" s="1"/>
  <c r="B36" i="11"/>
  <c r="I36" i="11"/>
  <c r="J36" i="11" s="1"/>
  <c r="G36" i="11"/>
  <c r="E36" i="11"/>
  <c r="F36" i="11"/>
  <c r="M10" i="11"/>
  <c r="C35" i="11" s="1"/>
  <c r="B35" i="11"/>
  <c r="I35" i="11"/>
  <c r="G35" i="11"/>
  <c r="F35" i="11"/>
  <c r="E35" i="11"/>
  <c r="J32" i="11"/>
  <c r="K32" i="11" s="1"/>
  <c r="H35" i="11"/>
  <c r="J35" i="11" s="1"/>
  <c r="K35" i="11" s="1"/>
  <c r="AY8" i="9"/>
  <c r="M5" i="11"/>
  <c r="C30" i="11" s="1"/>
  <c r="H36" i="11"/>
  <c r="F31" i="11"/>
  <c r="F33" i="11"/>
  <c r="F34" i="11"/>
  <c r="G31" i="11"/>
  <c r="G33" i="11"/>
  <c r="G34" i="11"/>
  <c r="AQ9" i="9"/>
  <c r="AP14" i="9"/>
  <c r="I33" i="11"/>
  <c r="J33" i="11" s="1"/>
  <c r="K33" i="11" s="1"/>
  <c r="I34" i="11"/>
  <c r="AS8" i="9"/>
  <c r="AZ9" i="9"/>
  <c r="B33" i="11"/>
  <c r="B34" i="11"/>
  <c r="Z21" i="9"/>
  <c r="I34" i="13"/>
  <c r="H34" i="13" s="1"/>
  <c r="B35" i="13"/>
  <c r="G34" i="13"/>
  <c r="X33" i="13"/>
  <c r="G33" i="13"/>
  <c r="X42" i="13"/>
  <c r="G42" i="13"/>
  <c r="X19" i="13"/>
  <c r="B21" i="12"/>
  <c r="X16" i="13"/>
  <c r="X21" i="13"/>
  <c r="I8" i="13"/>
  <c r="H8" i="13" s="1"/>
  <c r="G8" i="13" s="1"/>
  <c r="B9" i="13"/>
  <c r="G16" i="13"/>
  <c r="G19" i="13"/>
  <c r="I20" i="13"/>
  <c r="H20" i="13" s="1"/>
  <c r="I29" i="13"/>
  <c r="H29" i="13" s="1"/>
  <c r="I7" i="13"/>
  <c r="H7" i="13" s="1"/>
  <c r="G21" i="13"/>
  <c r="X6" i="13"/>
  <c r="B22" i="13"/>
  <c r="G6" i="13"/>
  <c r="AE56" i="9"/>
  <c r="AL19" i="9"/>
  <c r="AE70" i="9"/>
  <c r="AB12" i="9"/>
  <c r="AG19" i="9"/>
  <c r="AQ5" i="9"/>
  <c r="AZ8" i="9"/>
  <c r="AI12" i="9"/>
  <c r="AM13" i="9"/>
  <c r="AI20" i="9"/>
  <c r="AE72" i="9"/>
  <c r="AE62" i="9"/>
  <c r="AE58" i="9"/>
  <c r="AQ13" i="9"/>
  <c r="AZ16" i="9"/>
  <c r="AZ19" i="9"/>
  <c r="I13" i="12"/>
  <c r="H13" i="12" s="1"/>
  <c r="R13" i="12" s="1"/>
  <c r="B14" i="12"/>
  <c r="R19" i="12"/>
  <c r="G19" i="12"/>
  <c r="R6" i="12"/>
  <c r="G6" i="12"/>
  <c r="G20" i="12"/>
  <c r="R20" i="12"/>
  <c r="N5" i="11"/>
  <c r="D30" i="11" s="1"/>
  <c r="M5" i="10"/>
  <c r="F5" i="10" s="1"/>
  <c r="O5" i="10"/>
  <c r="C30" i="10"/>
  <c r="O5" i="9"/>
  <c r="F6" i="9"/>
  <c r="Y5" i="9"/>
  <c r="AC13" i="9"/>
  <c r="AR13" i="9"/>
  <c r="AA21" i="9"/>
  <c r="AF21" i="9"/>
  <c r="AE23" i="9"/>
  <c r="AE13" i="9"/>
  <c r="AF23" i="9"/>
  <c r="Z13" i="9"/>
  <c r="AI18" i="9"/>
  <c r="AK19" i="9"/>
  <c r="AF13" i="9"/>
  <c r="AA23" i="9"/>
  <c r="AC14" i="9"/>
  <c r="I79" i="9"/>
  <c r="AL13" i="9"/>
  <c r="AC15" i="9"/>
  <c r="AO18" i="9"/>
  <c r="AX13" i="9"/>
  <c r="AD14" i="9"/>
  <c r="AC18" i="9"/>
  <c r="AS19" i="9"/>
  <c r="AZ23" i="9"/>
  <c r="AE60" i="9"/>
  <c r="AZ10" i="9"/>
  <c r="AC67" i="9"/>
  <c r="AQ17" i="9"/>
  <c r="AE17" i="9"/>
  <c r="AM17" i="9"/>
  <c r="Z17" i="9"/>
  <c r="AL17" i="9"/>
  <c r="Y17" i="9"/>
  <c r="AR17" i="9"/>
  <c r="AC59" i="9"/>
  <c r="Y9" i="9"/>
  <c r="AP12" i="9"/>
  <c r="AA12" i="9"/>
  <c r="AO12" i="9"/>
  <c r="Z12" i="9"/>
  <c r="AN12" i="9"/>
  <c r="AC65" i="9"/>
  <c r="AR15" i="9"/>
  <c r="AF15" i="9"/>
  <c r="AQ15" i="9"/>
  <c r="AE15" i="9"/>
  <c r="AM15" i="9"/>
  <c r="AE67" i="9"/>
  <c r="AY17" i="9"/>
  <c r="AS17" i="9"/>
  <c r="AE50" i="9"/>
  <c r="Y7" i="9"/>
  <c r="AU12" i="9"/>
  <c r="AS15" i="9"/>
  <c r="AX17" i="9"/>
  <c r="AC73" i="9"/>
  <c r="AL23" i="9"/>
  <c r="Y23" i="9"/>
  <c r="AK23" i="9"/>
  <c r="AS23" i="9"/>
  <c r="AG23" i="9"/>
  <c r="AM23" i="9"/>
  <c r="AC55" i="9"/>
  <c r="AK5" i="9"/>
  <c r="AE5" i="9"/>
  <c r="AY6" i="9"/>
  <c r="AE7" i="9"/>
  <c r="AV12" i="9"/>
  <c r="AX15" i="9"/>
  <c r="AF17" i="9"/>
  <c r="AC71" i="9"/>
  <c r="AL21" i="9"/>
  <c r="Y21" i="9"/>
  <c r="AK21" i="9"/>
  <c r="AS21" i="9"/>
  <c r="AG21" i="9"/>
  <c r="AM21" i="9"/>
  <c r="AQ23" i="9"/>
  <c r="AZ6" i="9"/>
  <c r="AK7" i="9"/>
  <c r="AE9" i="9"/>
  <c r="AD61" i="9"/>
  <c r="AK11" i="9"/>
  <c r="AG12" i="9"/>
  <c r="AX12" i="9"/>
  <c r="AG15" i="9"/>
  <c r="AY15" i="9"/>
  <c r="AG17" i="9"/>
  <c r="AD69" i="9"/>
  <c r="AQ19" i="9"/>
  <c r="AE19" i="9"/>
  <c r="AM19" i="9"/>
  <c r="Z19" i="9"/>
  <c r="AX19" i="9"/>
  <c r="AQ21" i="9"/>
  <c r="AR23" i="9"/>
  <c r="AQ7" i="9"/>
  <c r="AK9" i="9"/>
  <c r="AS10" i="9"/>
  <c r="Y11" i="9"/>
  <c r="AH12" i="9"/>
  <c r="AY12" i="9"/>
  <c r="AC63" i="9"/>
  <c r="AK13" i="9"/>
  <c r="AS13" i="9"/>
  <c r="AI13" i="9"/>
  <c r="AG13" i="9"/>
  <c r="AD64" i="9"/>
  <c r="AO14" i="9"/>
  <c r="AK15" i="9"/>
  <c r="AK17" i="9"/>
  <c r="Y19" i="9"/>
  <c r="AY19" i="9"/>
  <c r="AC70" i="9"/>
  <c r="AC20" i="9"/>
  <c r="AR21" i="9"/>
  <c r="Z23" i="9"/>
  <c r="AE74" i="9"/>
  <c r="AU18" i="9"/>
  <c r="AA19" i="9"/>
  <c r="AX21" i="9"/>
  <c r="BA21" i="9" s="1"/>
  <c r="AX23" i="9"/>
  <c r="AU6" i="9"/>
  <c r="AZ7" i="9"/>
  <c r="I81" i="9"/>
  <c r="AA17" i="9"/>
  <c r="AF19" i="9"/>
  <c r="AR19" i="9"/>
  <c r="AY21" i="9"/>
  <c r="AY23" i="9"/>
  <c r="B80" i="9"/>
  <c r="B105" i="9" s="1"/>
  <c r="D79" i="9"/>
  <c r="E30" i="9"/>
  <c r="D30" i="9"/>
  <c r="C30" i="9"/>
  <c r="B30" i="9"/>
  <c r="G30" i="9"/>
  <c r="AD30" i="9"/>
  <c r="AD55" i="9" s="1"/>
  <c r="F30" i="9"/>
  <c r="B79" i="9"/>
  <c r="AD5" i="9"/>
  <c r="AJ5" i="9"/>
  <c r="AP5" i="9"/>
  <c r="AV5" i="9"/>
  <c r="AA6" i="9"/>
  <c r="AG6" i="9"/>
  <c r="AM6" i="9"/>
  <c r="AS6" i="9"/>
  <c r="AD7" i="9"/>
  <c r="AJ7" i="9"/>
  <c r="AP7" i="9"/>
  <c r="AV7" i="9"/>
  <c r="AA8" i="9"/>
  <c r="AG8" i="9"/>
  <c r="AM8" i="9"/>
  <c r="AD9" i="9"/>
  <c r="AJ9" i="9"/>
  <c r="AP9" i="9"/>
  <c r="AV9" i="9"/>
  <c r="AA10" i="9"/>
  <c r="AG10" i="9"/>
  <c r="AM10" i="9"/>
  <c r="AY10" i="9"/>
  <c r="AD11" i="9"/>
  <c r="AJ11" i="9"/>
  <c r="AQ11" i="9"/>
  <c r="AX11" i="9"/>
  <c r="AA13" i="9"/>
  <c r="Z15" i="9"/>
  <c r="AD16" i="9"/>
  <c r="AB8" i="9"/>
  <c r="AH8" i="9"/>
  <c r="AB10" i="9"/>
  <c r="AH10" i="9"/>
  <c r="AN10" i="9"/>
  <c r="AT10" i="9"/>
  <c r="AA15" i="9"/>
  <c r="AC66" i="9"/>
  <c r="AS16" i="9"/>
  <c r="AM16" i="9"/>
  <c r="AG16" i="9"/>
  <c r="AA16" i="9"/>
  <c r="AR16" i="9"/>
  <c r="AL16" i="9"/>
  <c r="AF16" i="9"/>
  <c r="Z16" i="9"/>
  <c r="AQ16" i="9"/>
  <c r="AK16" i="9"/>
  <c r="AE16" i="9"/>
  <c r="Y16" i="9"/>
  <c r="AV16" i="9"/>
  <c r="AP16" i="9"/>
  <c r="AJ16" i="9"/>
  <c r="AH16" i="9"/>
  <c r="AB6" i="9"/>
  <c r="AN8" i="9"/>
  <c r="AL5" i="9"/>
  <c r="AI6" i="9"/>
  <c r="Z7" i="9"/>
  <c r="AF7" i="9"/>
  <c r="AL7" i="9"/>
  <c r="AR7" i="9"/>
  <c r="AX7" i="9"/>
  <c r="AC8" i="9"/>
  <c r="AI8" i="9"/>
  <c r="AO8" i="9"/>
  <c r="AU8" i="9"/>
  <c r="Z9" i="9"/>
  <c r="AF9" i="9"/>
  <c r="AL9" i="9"/>
  <c r="AR9" i="9"/>
  <c r="AX9" i="9"/>
  <c r="AC10" i="9"/>
  <c r="AI10" i="9"/>
  <c r="AO10" i="9"/>
  <c r="AU10" i="9"/>
  <c r="Z11" i="9"/>
  <c r="AF11" i="9"/>
  <c r="AL11" i="9"/>
  <c r="AS11" i="9"/>
  <c r="AE63" i="9"/>
  <c r="AZ13" i="9"/>
  <c r="AY13" i="9"/>
  <c r="AC64" i="9"/>
  <c r="AS14" i="9"/>
  <c r="AM14" i="9"/>
  <c r="AG14" i="9"/>
  <c r="AA14" i="9"/>
  <c r="AR14" i="9"/>
  <c r="AL14" i="9"/>
  <c r="AF14" i="9"/>
  <c r="Z14" i="9"/>
  <c r="AQ14" i="9"/>
  <c r="AK14" i="9"/>
  <c r="AE14" i="9"/>
  <c r="Y14" i="9"/>
  <c r="AH14" i="9"/>
  <c r="AT14" i="9"/>
  <c r="AE66" i="9"/>
  <c r="AY16" i="9"/>
  <c r="AX16" i="9"/>
  <c r="AI16" i="9"/>
  <c r="AT6" i="9"/>
  <c r="Z5" i="9"/>
  <c r="AR5" i="9"/>
  <c r="AC6" i="9"/>
  <c r="AA5" i="9"/>
  <c r="AS5" i="9"/>
  <c r="AY5" i="9"/>
  <c r="AJ6" i="9"/>
  <c r="AP6" i="9"/>
  <c r="AV6" i="9"/>
  <c r="I80" i="9"/>
  <c r="AA7" i="9"/>
  <c r="AG7" i="9"/>
  <c r="AM7" i="9"/>
  <c r="AS7" i="9"/>
  <c r="AY7" i="9"/>
  <c r="AD8" i="9"/>
  <c r="AJ8" i="9"/>
  <c r="AP8" i="9"/>
  <c r="AV8" i="9"/>
  <c r="I82" i="9"/>
  <c r="AA9" i="9"/>
  <c r="AG9" i="9"/>
  <c r="AM9" i="9"/>
  <c r="AS9" i="9"/>
  <c r="AY9" i="9"/>
  <c r="AD10" i="9"/>
  <c r="AJ10" i="9"/>
  <c r="AP10" i="9"/>
  <c r="AV10" i="9"/>
  <c r="I84" i="9"/>
  <c r="AA11" i="9"/>
  <c r="AG11" i="9"/>
  <c r="AM11" i="9"/>
  <c r="AU11" i="9"/>
  <c r="I85" i="9"/>
  <c r="AC62" i="9"/>
  <c r="AQ12" i="9"/>
  <c r="AK12" i="9"/>
  <c r="AE12" i="9"/>
  <c r="Y12" i="9"/>
  <c r="AC12" i="9"/>
  <c r="AJ12" i="9"/>
  <c r="AR12" i="9"/>
  <c r="AE64" i="9"/>
  <c r="AY14" i="9"/>
  <c r="AX14" i="9"/>
  <c r="AI14" i="9"/>
  <c r="AU14" i="9"/>
  <c r="AN16" i="9"/>
  <c r="AE68" i="9"/>
  <c r="AY18" i="9"/>
  <c r="AX18" i="9"/>
  <c r="AZ18" i="9"/>
  <c r="AH6" i="9"/>
  <c r="AT8" i="9"/>
  <c r="AG5" i="9"/>
  <c r="AB5" i="9"/>
  <c r="AH5" i="9"/>
  <c r="AN5" i="9"/>
  <c r="AT5" i="9"/>
  <c r="AZ5" i="9"/>
  <c r="Y6" i="9"/>
  <c r="AE6" i="9"/>
  <c r="AK6" i="9"/>
  <c r="AQ6" i="9"/>
  <c r="AB7" i="9"/>
  <c r="AH7" i="9"/>
  <c r="AN7" i="9"/>
  <c r="AT7" i="9"/>
  <c r="Y8" i="9"/>
  <c r="AE8" i="9"/>
  <c r="AK8" i="9"/>
  <c r="AQ8" i="9"/>
  <c r="AB9" i="9"/>
  <c r="AH9" i="9"/>
  <c r="AN9" i="9"/>
  <c r="AT9" i="9"/>
  <c r="Y10" i="9"/>
  <c r="AE10" i="9"/>
  <c r="AK10" i="9"/>
  <c r="AQ10" i="9"/>
  <c r="AT11" i="9"/>
  <c r="AN11" i="9"/>
  <c r="AB11" i="9"/>
  <c r="AH11" i="9"/>
  <c r="AO11" i="9"/>
  <c r="AV11" i="9"/>
  <c r="AD12" i="9"/>
  <c r="AL12" i="9"/>
  <c r="AS12" i="9"/>
  <c r="AZ12" i="9"/>
  <c r="Y13" i="9"/>
  <c r="AJ14" i="9"/>
  <c r="AV14" i="9"/>
  <c r="AB16" i="9"/>
  <c r="AO16" i="9"/>
  <c r="C79" i="9"/>
  <c r="AN6" i="9"/>
  <c r="AF5" i="9"/>
  <c r="AX5" i="9"/>
  <c r="AO6" i="9"/>
  <c r="AM5" i="9"/>
  <c r="AD6" i="9"/>
  <c r="AE55" i="9"/>
  <c r="AC5" i="9"/>
  <c r="AI5" i="9"/>
  <c r="AO5" i="9"/>
  <c r="AU5" i="9"/>
  <c r="Z6" i="9"/>
  <c r="AF6" i="9"/>
  <c r="AL6" i="9"/>
  <c r="AR6" i="9"/>
  <c r="AX6" i="9"/>
  <c r="AE57" i="9"/>
  <c r="AC7" i="9"/>
  <c r="AI7" i="9"/>
  <c r="AO7" i="9"/>
  <c r="AU7" i="9"/>
  <c r="Z8" i="9"/>
  <c r="AF8" i="9"/>
  <c r="AL8" i="9"/>
  <c r="AR8" i="9"/>
  <c r="AX8" i="9"/>
  <c r="BA8" i="9" s="1"/>
  <c r="AE59" i="9"/>
  <c r="AC9" i="9"/>
  <c r="AI9" i="9"/>
  <c r="AO9" i="9"/>
  <c r="AU9" i="9"/>
  <c r="Z10" i="9"/>
  <c r="AF10" i="9"/>
  <c r="AL10" i="9"/>
  <c r="AR10" i="9"/>
  <c r="AX10" i="9"/>
  <c r="AE61" i="9"/>
  <c r="AZ11" i="9"/>
  <c r="AC11" i="9"/>
  <c r="AI11" i="9"/>
  <c r="AP11" i="9"/>
  <c r="AF12" i="9"/>
  <c r="AM12" i="9"/>
  <c r="AT12" i="9"/>
  <c r="AB14" i="9"/>
  <c r="AN14" i="9"/>
  <c r="AZ14" i="9"/>
  <c r="Y15" i="9"/>
  <c r="AC16" i="9"/>
  <c r="AT16" i="9"/>
  <c r="AB18" i="9"/>
  <c r="AH18" i="9"/>
  <c r="AN18" i="9"/>
  <c r="AT18" i="9"/>
  <c r="AB20" i="9"/>
  <c r="AH20" i="9"/>
  <c r="AN20" i="9"/>
  <c r="AT20" i="9"/>
  <c r="AZ20" i="9"/>
  <c r="AB22" i="9"/>
  <c r="AH22" i="9"/>
  <c r="AN22" i="9"/>
  <c r="AT22" i="9"/>
  <c r="AZ22" i="9"/>
  <c r="AB24" i="9"/>
  <c r="AH24" i="9"/>
  <c r="AN24" i="9"/>
  <c r="AT24" i="9"/>
  <c r="AZ24" i="9"/>
  <c r="AO20" i="9"/>
  <c r="AU20" i="9"/>
  <c r="AC22" i="9"/>
  <c r="AI22" i="9"/>
  <c r="AO22" i="9"/>
  <c r="AU22" i="9"/>
  <c r="AC24" i="9"/>
  <c r="AI24" i="9"/>
  <c r="AO24" i="9"/>
  <c r="AU24" i="9"/>
  <c r="AD18" i="9"/>
  <c r="AJ18" i="9"/>
  <c r="AP18" i="9"/>
  <c r="AV18" i="9"/>
  <c r="AD20" i="9"/>
  <c r="AJ20" i="9"/>
  <c r="AP20" i="9"/>
  <c r="AV20" i="9"/>
  <c r="AD22" i="9"/>
  <c r="AJ22" i="9"/>
  <c r="AP22" i="9"/>
  <c r="AV22" i="9"/>
  <c r="AD24" i="9"/>
  <c r="AJ24" i="9"/>
  <c r="AP24" i="9"/>
  <c r="AV24" i="9"/>
  <c r="AB13" i="9"/>
  <c r="AH13" i="9"/>
  <c r="AN13" i="9"/>
  <c r="AT13" i="9"/>
  <c r="AB15" i="9"/>
  <c r="AH15" i="9"/>
  <c r="AN15" i="9"/>
  <c r="AT15" i="9"/>
  <c r="AZ15" i="9"/>
  <c r="AB17" i="9"/>
  <c r="AH17" i="9"/>
  <c r="AN17" i="9"/>
  <c r="AT17" i="9"/>
  <c r="AZ17" i="9"/>
  <c r="Y18" i="9"/>
  <c r="AE18" i="9"/>
  <c r="AK18" i="9"/>
  <c r="AQ18" i="9"/>
  <c r="AB19" i="9"/>
  <c r="AH19" i="9"/>
  <c r="AN19" i="9"/>
  <c r="AT19" i="9"/>
  <c r="Y20" i="9"/>
  <c r="AE20" i="9"/>
  <c r="AK20" i="9"/>
  <c r="AQ20" i="9"/>
  <c r="AB21" i="9"/>
  <c r="AH21" i="9"/>
  <c r="AN21" i="9"/>
  <c r="AT21" i="9"/>
  <c r="Y22" i="9"/>
  <c r="AE22" i="9"/>
  <c r="AK22" i="9"/>
  <c r="AQ22" i="9"/>
  <c r="AB23" i="9"/>
  <c r="AH23" i="9"/>
  <c r="AN23" i="9"/>
  <c r="AT23" i="9"/>
  <c r="Y24" i="9"/>
  <c r="AE24" i="9"/>
  <c r="AK24" i="9"/>
  <c r="AQ24" i="9"/>
  <c r="AO13" i="9"/>
  <c r="AU13" i="9"/>
  <c r="AI15" i="9"/>
  <c r="AO15" i="9"/>
  <c r="AU15" i="9"/>
  <c r="AC17" i="9"/>
  <c r="AI17" i="9"/>
  <c r="AO17" i="9"/>
  <c r="AU17" i="9"/>
  <c r="Z18" i="9"/>
  <c r="AF18" i="9"/>
  <c r="AL18" i="9"/>
  <c r="AR18" i="9"/>
  <c r="AE69" i="9"/>
  <c r="AC19" i="9"/>
  <c r="AI19" i="9"/>
  <c r="AO19" i="9"/>
  <c r="AU19" i="9"/>
  <c r="Z20" i="9"/>
  <c r="AF20" i="9"/>
  <c r="AL20" i="9"/>
  <c r="AR20" i="9"/>
  <c r="AX20" i="9"/>
  <c r="AE71" i="9"/>
  <c r="AC21" i="9"/>
  <c r="AI21" i="9"/>
  <c r="AO21" i="9"/>
  <c r="AU21" i="9"/>
  <c r="Z22" i="9"/>
  <c r="AF22" i="9"/>
  <c r="AL22" i="9"/>
  <c r="AR22" i="9"/>
  <c r="AX22" i="9"/>
  <c r="AE73" i="9"/>
  <c r="AC23" i="9"/>
  <c r="AI23" i="9"/>
  <c r="AO23" i="9"/>
  <c r="AU23" i="9"/>
  <c r="Z24" i="9"/>
  <c r="AF24" i="9"/>
  <c r="AL24" i="9"/>
  <c r="AR24" i="9"/>
  <c r="AX24" i="9"/>
  <c r="AD13" i="9"/>
  <c r="AJ13" i="9"/>
  <c r="AP13" i="9"/>
  <c r="AV13" i="9"/>
  <c r="AD15" i="9"/>
  <c r="AJ15" i="9"/>
  <c r="AP15" i="9"/>
  <c r="AV15" i="9"/>
  <c r="AD17" i="9"/>
  <c r="AJ17" i="9"/>
  <c r="AP17" i="9"/>
  <c r="AV17" i="9"/>
  <c r="AA18" i="9"/>
  <c r="AG18" i="9"/>
  <c r="AM18" i="9"/>
  <c r="AS18" i="9"/>
  <c r="AD19" i="9"/>
  <c r="AJ19" i="9"/>
  <c r="AP19" i="9"/>
  <c r="AV19" i="9"/>
  <c r="AA20" i="9"/>
  <c r="AG20" i="9"/>
  <c r="AM20" i="9"/>
  <c r="AS20" i="9"/>
  <c r="AY20" i="9"/>
  <c r="AD21" i="9"/>
  <c r="AJ21" i="9"/>
  <c r="AP21" i="9"/>
  <c r="AV21" i="9"/>
  <c r="AA22" i="9"/>
  <c r="AG22" i="9"/>
  <c r="AM22" i="9"/>
  <c r="AS22" i="9"/>
  <c r="AY22" i="9"/>
  <c r="AD23" i="9"/>
  <c r="AJ23" i="9"/>
  <c r="AP23" i="9"/>
  <c r="AV23" i="9"/>
  <c r="AA24" i="9"/>
  <c r="AG24" i="9"/>
  <c r="AM24" i="9"/>
  <c r="AS24" i="9"/>
  <c r="AY24" i="9"/>
  <c r="C12" i="5"/>
  <c r="C11" i="5"/>
  <c r="C10" i="5"/>
  <c r="C9" i="5"/>
  <c r="C8" i="5"/>
  <c r="C7" i="5"/>
  <c r="C6" i="5"/>
  <c r="K36" i="11" l="1"/>
  <c r="I35" i="13"/>
  <c r="H35" i="13" s="1"/>
  <c r="B36" i="13"/>
  <c r="G35" i="13"/>
  <c r="X34" i="13"/>
  <c r="I21" i="12"/>
  <c r="H21" i="12" s="1"/>
  <c r="B22" i="12"/>
  <c r="X7" i="13"/>
  <c r="X29" i="13"/>
  <c r="I22" i="13"/>
  <c r="H22" i="13" s="1"/>
  <c r="B23" i="13"/>
  <c r="X20" i="13"/>
  <c r="G7" i="13"/>
  <c r="I9" i="13"/>
  <c r="H9" i="13" s="1"/>
  <c r="B10" i="13"/>
  <c r="G29" i="13"/>
  <c r="X8" i="13"/>
  <c r="G20" i="13"/>
  <c r="B30" i="10"/>
  <c r="H30" i="10"/>
  <c r="G30" i="10"/>
  <c r="F30" i="10"/>
  <c r="I30" i="10"/>
  <c r="BA15" i="9"/>
  <c r="BA23" i="9"/>
  <c r="AA73" i="9" s="1"/>
  <c r="BA9" i="9"/>
  <c r="BA13" i="9"/>
  <c r="AA63" i="9" s="1"/>
  <c r="G13" i="12"/>
  <c r="B15" i="12"/>
  <c r="I14" i="12"/>
  <c r="H14" i="12" s="1"/>
  <c r="B6" i="10"/>
  <c r="N6" i="10" s="1"/>
  <c r="C31" i="10" s="1"/>
  <c r="E30" i="10"/>
  <c r="D30" i="10"/>
  <c r="B7" i="9"/>
  <c r="I104" i="9"/>
  <c r="I105" i="9"/>
  <c r="BA12" i="9"/>
  <c r="Z62" i="9" s="1"/>
  <c r="BA5" i="9"/>
  <c r="AA55" i="9" s="1"/>
  <c r="AW17" i="9"/>
  <c r="U67" i="9" s="1"/>
  <c r="AW19" i="9"/>
  <c r="N69" i="9" s="1"/>
  <c r="AW23" i="9"/>
  <c r="R73" i="9" s="1"/>
  <c r="BA6" i="9"/>
  <c r="AW9" i="9"/>
  <c r="X59" i="9" s="1"/>
  <c r="BA17" i="9"/>
  <c r="AA67" i="9" s="1"/>
  <c r="BA10" i="9"/>
  <c r="AB60" i="9" s="1"/>
  <c r="AW7" i="9"/>
  <c r="BA19" i="9"/>
  <c r="AW21" i="9"/>
  <c r="N71" i="9" s="1"/>
  <c r="AW11" i="9"/>
  <c r="P61" i="9" s="1"/>
  <c r="BA18" i="9"/>
  <c r="AA68" i="9" s="1"/>
  <c r="AW5" i="9"/>
  <c r="V55" i="9" s="1"/>
  <c r="F59" i="9"/>
  <c r="K59" i="9"/>
  <c r="Q59" i="9"/>
  <c r="J59" i="9"/>
  <c r="O59" i="9"/>
  <c r="H59" i="9"/>
  <c r="T59" i="9"/>
  <c r="M59" i="9"/>
  <c r="E59" i="9"/>
  <c r="AA62" i="9"/>
  <c r="AB62" i="9"/>
  <c r="V61" i="9"/>
  <c r="D61" i="9"/>
  <c r="U61" i="9"/>
  <c r="F61" i="9"/>
  <c r="S61" i="9"/>
  <c r="Q61" i="9"/>
  <c r="X61" i="9"/>
  <c r="O61" i="9"/>
  <c r="O73" i="9"/>
  <c r="Q73" i="9"/>
  <c r="P71" i="9"/>
  <c r="G71" i="9"/>
  <c r="AB65" i="9"/>
  <c r="AA65" i="9"/>
  <c r="Z65" i="9"/>
  <c r="W57" i="9"/>
  <c r="P57" i="9"/>
  <c r="I57" i="9"/>
  <c r="C57" i="9"/>
  <c r="BA22" i="9"/>
  <c r="AB55" i="9"/>
  <c r="Z71" i="9"/>
  <c r="AA71" i="9"/>
  <c r="AB71" i="9"/>
  <c r="BA16" i="9"/>
  <c r="AB59" i="9"/>
  <c r="AA59" i="9"/>
  <c r="AW22" i="9"/>
  <c r="AB58" i="9"/>
  <c r="Z58" i="9"/>
  <c r="AW6" i="9"/>
  <c r="BA14" i="9"/>
  <c r="AW12" i="9"/>
  <c r="BA11" i="9"/>
  <c r="C80" i="9"/>
  <c r="C105" i="9" s="1"/>
  <c r="O6" i="9"/>
  <c r="AE75" i="9"/>
  <c r="AW10" i="9"/>
  <c r="B104" i="9"/>
  <c r="AW20" i="9"/>
  <c r="AW15" i="9"/>
  <c r="BA24" i="9"/>
  <c r="BA20" i="9"/>
  <c r="C104" i="9"/>
  <c r="AW8" i="9"/>
  <c r="BA7" i="9"/>
  <c r="AW16" i="9"/>
  <c r="D104" i="9"/>
  <c r="AW24" i="9"/>
  <c r="AW18" i="9"/>
  <c r="AB56" i="9"/>
  <c r="Z56" i="9"/>
  <c r="AB73" i="9"/>
  <c r="AW13" i="9"/>
  <c r="AW14" i="9"/>
  <c r="D98" i="5"/>
  <c r="D123" i="5" s="1"/>
  <c r="C98" i="5"/>
  <c r="C123" i="5" s="1"/>
  <c r="B98" i="5"/>
  <c r="B123" i="5" s="1"/>
  <c r="D97" i="5"/>
  <c r="D122" i="5" s="1"/>
  <c r="C97" i="5"/>
  <c r="C122" i="5" s="1"/>
  <c r="B97" i="5"/>
  <c r="B122" i="5" s="1"/>
  <c r="D96" i="5"/>
  <c r="D121" i="5" s="1"/>
  <c r="C96" i="5"/>
  <c r="C121" i="5" s="1"/>
  <c r="B96" i="5"/>
  <c r="B121" i="5" s="1"/>
  <c r="D95" i="5"/>
  <c r="D120" i="5" s="1"/>
  <c r="C95" i="5"/>
  <c r="C120" i="5" s="1"/>
  <c r="B95" i="5"/>
  <c r="B120" i="5" s="1"/>
  <c r="D94" i="5"/>
  <c r="D119" i="5" s="1"/>
  <c r="C94" i="5"/>
  <c r="C119" i="5" s="1"/>
  <c r="B94" i="5"/>
  <c r="B119" i="5" s="1"/>
  <c r="D93" i="5"/>
  <c r="D118" i="5" s="1"/>
  <c r="C93" i="5"/>
  <c r="C118" i="5" s="1"/>
  <c r="B93" i="5"/>
  <c r="B118" i="5" s="1"/>
  <c r="D92" i="5"/>
  <c r="D117" i="5" s="1"/>
  <c r="C92" i="5"/>
  <c r="C117" i="5" s="1"/>
  <c r="B92" i="5"/>
  <c r="B117" i="5" s="1"/>
  <c r="D91" i="5"/>
  <c r="D116" i="5" s="1"/>
  <c r="C91" i="5"/>
  <c r="C116" i="5" s="1"/>
  <c r="B91" i="5"/>
  <c r="B116" i="5" s="1"/>
  <c r="D90" i="5"/>
  <c r="D115" i="5" s="1"/>
  <c r="C90" i="5"/>
  <c r="C115" i="5" s="1"/>
  <c r="B90" i="5"/>
  <c r="B115" i="5" s="1"/>
  <c r="D89" i="5"/>
  <c r="D114" i="5" s="1"/>
  <c r="C89" i="5"/>
  <c r="C114" i="5" s="1"/>
  <c r="B89" i="5"/>
  <c r="B114" i="5" s="1"/>
  <c r="D88" i="5"/>
  <c r="D113" i="5" s="1"/>
  <c r="C88" i="5"/>
  <c r="C113" i="5" s="1"/>
  <c r="B88" i="5"/>
  <c r="B113" i="5" s="1"/>
  <c r="D87" i="5"/>
  <c r="D112" i="5" s="1"/>
  <c r="C87" i="5"/>
  <c r="C112" i="5" s="1"/>
  <c r="B87" i="5"/>
  <c r="B112" i="5" s="1"/>
  <c r="D86" i="5"/>
  <c r="D111" i="5" s="1"/>
  <c r="C86" i="5"/>
  <c r="C111" i="5" s="1"/>
  <c r="B86" i="5"/>
  <c r="B111" i="5" s="1"/>
  <c r="K98" i="5"/>
  <c r="K123" i="5" s="1"/>
  <c r="J98" i="5"/>
  <c r="J123" i="5" s="1"/>
  <c r="K97" i="5"/>
  <c r="K122" i="5" s="1"/>
  <c r="J97" i="5"/>
  <c r="J122" i="5" s="1"/>
  <c r="K96" i="5"/>
  <c r="K121" i="5" s="1"/>
  <c r="J96" i="5"/>
  <c r="J121" i="5" s="1"/>
  <c r="K95" i="5"/>
  <c r="K120" i="5" s="1"/>
  <c r="J95" i="5"/>
  <c r="J120" i="5" s="1"/>
  <c r="K94" i="5"/>
  <c r="K119" i="5" s="1"/>
  <c r="J94" i="5"/>
  <c r="J119" i="5" s="1"/>
  <c r="K93" i="5"/>
  <c r="K118" i="5" s="1"/>
  <c r="J93" i="5"/>
  <c r="J118" i="5" s="1"/>
  <c r="K92" i="5"/>
  <c r="K117" i="5" s="1"/>
  <c r="J92" i="5"/>
  <c r="J117" i="5" s="1"/>
  <c r="K91" i="5"/>
  <c r="K116" i="5" s="1"/>
  <c r="J91" i="5"/>
  <c r="J116" i="5" s="1"/>
  <c r="K90" i="5"/>
  <c r="K115" i="5" s="1"/>
  <c r="J90" i="5"/>
  <c r="J115" i="5" s="1"/>
  <c r="K89" i="5"/>
  <c r="K114" i="5" s="1"/>
  <c r="J89" i="5"/>
  <c r="J114" i="5" s="1"/>
  <c r="J88" i="5"/>
  <c r="J87" i="5"/>
  <c r="J86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BA5" i="5"/>
  <c r="I79" i="5" s="1"/>
  <c r="BA6" i="5"/>
  <c r="I80" i="5" s="1"/>
  <c r="BA7" i="5"/>
  <c r="BA8" i="5"/>
  <c r="BA9" i="5"/>
  <c r="BA10" i="5"/>
  <c r="BA11" i="5"/>
  <c r="I85" i="5" s="1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4" i="5"/>
  <c r="AE33" i="5"/>
  <c r="AE32" i="5"/>
  <c r="AE31" i="5"/>
  <c r="AE30" i="5"/>
  <c r="AD49" i="5"/>
  <c r="AD48" i="5"/>
  <c r="AD47" i="5"/>
  <c r="AD46" i="5"/>
  <c r="AD45" i="5"/>
  <c r="AD44" i="5"/>
  <c r="AD43" i="5"/>
  <c r="AD42" i="5"/>
  <c r="AD41" i="5"/>
  <c r="AD40" i="5"/>
  <c r="AC40" i="5"/>
  <c r="AC41" i="5"/>
  <c r="AC42" i="5"/>
  <c r="AC43" i="5"/>
  <c r="AC44" i="5"/>
  <c r="AC45" i="5"/>
  <c r="AC46" i="5"/>
  <c r="AC47" i="5"/>
  <c r="AC48" i="5"/>
  <c r="AC49" i="5"/>
  <c r="H41" i="3"/>
  <c r="AC30" i="9" s="1"/>
  <c r="H40" i="3"/>
  <c r="I37" i="3"/>
  <c r="H37" i="3"/>
  <c r="I36" i="3"/>
  <c r="H36" i="3"/>
  <c r="I35" i="3"/>
  <c r="H35" i="3"/>
  <c r="I34" i="3"/>
  <c r="H34" i="3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AB49" i="5"/>
  <c r="AA49" i="5"/>
  <c r="Z49" i="5"/>
  <c r="AB48" i="5"/>
  <c r="AA48" i="5"/>
  <c r="Z48" i="5"/>
  <c r="AB47" i="5"/>
  <c r="AA47" i="5"/>
  <c r="Z47" i="5"/>
  <c r="AB46" i="5"/>
  <c r="AA46" i="5"/>
  <c r="Z46" i="5"/>
  <c r="AB45" i="5"/>
  <c r="AA45" i="5"/>
  <c r="Z45" i="5"/>
  <c r="AB44" i="5"/>
  <c r="AA44" i="5"/>
  <c r="Z44" i="5"/>
  <c r="AB43" i="5"/>
  <c r="AA43" i="5"/>
  <c r="Z43" i="5"/>
  <c r="AB42" i="5"/>
  <c r="AA42" i="5"/>
  <c r="Z42" i="5"/>
  <c r="AB41" i="5"/>
  <c r="AA41" i="5"/>
  <c r="Z41" i="5"/>
  <c r="AB40" i="5"/>
  <c r="AA40" i="5"/>
  <c r="Z40" i="5"/>
  <c r="AB39" i="5"/>
  <c r="AA39" i="5"/>
  <c r="Z39" i="5"/>
  <c r="AB38" i="5"/>
  <c r="AA38" i="5"/>
  <c r="Z38" i="5"/>
  <c r="AB37" i="5"/>
  <c r="AA37" i="5"/>
  <c r="Z37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B40" i="5"/>
  <c r="W5" i="5"/>
  <c r="W6" i="5"/>
  <c r="W7" i="5"/>
  <c r="W8" i="5"/>
  <c r="W9" i="5"/>
  <c r="W10" i="5"/>
  <c r="W11" i="5"/>
  <c r="W12" i="5"/>
  <c r="AD62" i="5" s="1"/>
  <c r="W13" i="5"/>
  <c r="AD63" i="5" s="1"/>
  <c r="W14" i="5"/>
  <c r="AD64" i="5" s="1"/>
  <c r="W15" i="5"/>
  <c r="W16" i="5"/>
  <c r="W17" i="5"/>
  <c r="W18" i="5"/>
  <c r="AD68" i="5" s="1"/>
  <c r="W19" i="5"/>
  <c r="AD69" i="5" s="1"/>
  <c r="W20" i="5"/>
  <c r="AD70" i="5" s="1"/>
  <c r="W21" i="5"/>
  <c r="AD71" i="5" s="1"/>
  <c r="W22" i="5"/>
  <c r="W23" i="5"/>
  <c r="W24" i="5"/>
  <c r="AD74" i="5" s="1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I84" i="5" l="1"/>
  <c r="J57" i="9"/>
  <c r="Y69" i="9"/>
  <c r="V71" i="9"/>
  <c r="E71" i="9"/>
  <c r="K67" i="9"/>
  <c r="U59" i="9"/>
  <c r="S59" i="9"/>
  <c r="Q71" i="9"/>
  <c r="Q57" i="9"/>
  <c r="M71" i="9"/>
  <c r="L71" i="9"/>
  <c r="Q67" i="9"/>
  <c r="I82" i="5"/>
  <c r="E57" i="9"/>
  <c r="W71" i="9"/>
  <c r="S71" i="9"/>
  <c r="I71" i="9"/>
  <c r="K71" i="9"/>
  <c r="I81" i="5"/>
  <c r="Z73" i="9"/>
  <c r="S57" i="9"/>
  <c r="C71" i="9"/>
  <c r="B71" i="9"/>
  <c r="V59" i="9"/>
  <c r="D71" i="9"/>
  <c r="F57" i="9"/>
  <c r="Z67" i="9"/>
  <c r="F71" i="9"/>
  <c r="T71" i="9"/>
  <c r="W59" i="9"/>
  <c r="I36" i="13"/>
  <c r="H36" i="13" s="1"/>
  <c r="G36" i="13" s="1"/>
  <c r="B37" i="13"/>
  <c r="X35" i="13"/>
  <c r="B23" i="12"/>
  <c r="I22" i="12"/>
  <c r="H22" i="12" s="1"/>
  <c r="G22" i="12" s="1"/>
  <c r="R21" i="12"/>
  <c r="G21" i="12"/>
  <c r="X9" i="13"/>
  <c r="X22" i="13"/>
  <c r="I10" i="13"/>
  <c r="H10" i="13" s="1"/>
  <c r="B11" i="13"/>
  <c r="B24" i="13"/>
  <c r="I23" i="13"/>
  <c r="H23" i="13" s="1"/>
  <c r="G9" i="13"/>
  <c r="G22" i="13"/>
  <c r="J30" i="10"/>
  <c r="K30" i="10" s="1"/>
  <c r="AB63" i="9"/>
  <c r="F67" i="9"/>
  <c r="G55" i="9"/>
  <c r="X55" i="9"/>
  <c r="D55" i="9"/>
  <c r="Z60" i="9"/>
  <c r="Z63" i="9"/>
  <c r="N67" i="9"/>
  <c r="N55" i="9"/>
  <c r="R55" i="9"/>
  <c r="J55" i="9"/>
  <c r="D57" i="9"/>
  <c r="M57" i="9"/>
  <c r="N57" i="9"/>
  <c r="S67" i="9"/>
  <c r="D67" i="9"/>
  <c r="H55" i="9"/>
  <c r="E55" i="9"/>
  <c r="K57" i="9"/>
  <c r="G57" i="9"/>
  <c r="T57" i="9"/>
  <c r="M73" i="9"/>
  <c r="B67" i="9"/>
  <c r="J67" i="9"/>
  <c r="B55" i="9"/>
  <c r="M55" i="9"/>
  <c r="U55" i="9"/>
  <c r="Y55" i="9"/>
  <c r="Y57" i="9"/>
  <c r="V57" i="9"/>
  <c r="R69" i="9"/>
  <c r="AB67" i="9"/>
  <c r="E73" i="9"/>
  <c r="L67" i="9"/>
  <c r="P67" i="9"/>
  <c r="C59" i="9"/>
  <c r="L59" i="9"/>
  <c r="Q55" i="9"/>
  <c r="T55" i="9"/>
  <c r="I29" i="12"/>
  <c r="H29" i="12" s="1"/>
  <c r="R14" i="12"/>
  <c r="G14" i="12"/>
  <c r="I15" i="12"/>
  <c r="H15" i="12" s="1"/>
  <c r="G15" i="12" s="1"/>
  <c r="I7" i="12"/>
  <c r="H7" i="12" s="1"/>
  <c r="K88" i="5"/>
  <c r="K113" i="5" s="1"/>
  <c r="J113" i="5"/>
  <c r="K87" i="5"/>
  <c r="K112" i="5" s="1"/>
  <c r="J112" i="5"/>
  <c r="E30" i="11"/>
  <c r="I30" i="11"/>
  <c r="H30" i="11"/>
  <c r="G30" i="11"/>
  <c r="F30" i="11"/>
  <c r="M6" i="10"/>
  <c r="O6" i="10"/>
  <c r="D31" i="10" s="1"/>
  <c r="R57" i="9"/>
  <c r="U57" i="9"/>
  <c r="B57" i="9"/>
  <c r="X57" i="9"/>
  <c r="L57" i="9"/>
  <c r="O57" i="9"/>
  <c r="N7" i="9"/>
  <c r="K86" i="5"/>
  <c r="K111" i="5" s="1"/>
  <c r="J111" i="5"/>
  <c r="L69" i="9"/>
  <c r="V69" i="9"/>
  <c r="P69" i="9"/>
  <c r="Y61" i="9"/>
  <c r="M61" i="9"/>
  <c r="Y67" i="9"/>
  <c r="V67" i="9"/>
  <c r="X69" i="9"/>
  <c r="U71" i="9"/>
  <c r="O71" i="9"/>
  <c r="R71" i="9"/>
  <c r="H71" i="9"/>
  <c r="C61" i="9"/>
  <c r="N61" i="9"/>
  <c r="M67" i="9"/>
  <c r="C67" i="9"/>
  <c r="G59" i="9"/>
  <c r="I59" i="9"/>
  <c r="Y59" i="9"/>
  <c r="R59" i="9"/>
  <c r="J69" i="9"/>
  <c r="S69" i="9"/>
  <c r="J71" i="9"/>
  <c r="X71" i="9"/>
  <c r="Y71" i="9"/>
  <c r="H61" i="9"/>
  <c r="K61" i="9"/>
  <c r="W61" i="9"/>
  <c r="W67" i="9"/>
  <c r="I67" i="9"/>
  <c r="N59" i="9"/>
  <c r="P59" i="9"/>
  <c r="D59" i="9"/>
  <c r="I55" i="9"/>
  <c r="L55" i="9"/>
  <c r="B73" i="9"/>
  <c r="D69" i="9"/>
  <c r="F69" i="9"/>
  <c r="M69" i="9"/>
  <c r="T69" i="9"/>
  <c r="D73" i="9"/>
  <c r="J73" i="9"/>
  <c r="H73" i="9"/>
  <c r="X73" i="9"/>
  <c r="V73" i="9"/>
  <c r="AB68" i="9"/>
  <c r="C69" i="9"/>
  <c r="E69" i="9"/>
  <c r="I69" i="9"/>
  <c r="B69" i="9"/>
  <c r="S73" i="9"/>
  <c r="I73" i="9"/>
  <c r="G73" i="9"/>
  <c r="F73" i="9"/>
  <c r="K73" i="9"/>
  <c r="Z68" i="9"/>
  <c r="K69" i="9"/>
  <c r="O69" i="9"/>
  <c r="Q69" i="9"/>
  <c r="H69" i="9"/>
  <c r="C73" i="9"/>
  <c r="P73" i="9"/>
  <c r="N73" i="9"/>
  <c r="L73" i="9"/>
  <c r="B61" i="9"/>
  <c r="R61" i="9"/>
  <c r="T61" i="9"/>
  <c r="J61" i="9"/>
  <c r="H67" i="9"/>
  <c r="T67" i="9"/>
  <c r="X67" i="9"/>
  <c r="O67" i="9"/>
  <c r="O55" i="9"/>
  <c r="C55" i="9"/>
  <c r="S55" i="9"/>
  <c r="P55" i="9"/>
  <c r="Y73" i="9"/>
  <c r="U69" i="9"/>
  <c r="W69" i="9"/>
  <c r="G69" i="9"/>
  <c r="T73" i="9"/>
  <c r="W73" i="9"/>
  <c r="U73" i="9"/>
  <c r="I61" i="9"/>
  <c r="E61" i="9"/>
  <c r="G61" i="9"/>
  <c r="R67" i="9"/>
  <c r="E67" i="9"/>
  <c r="G67" i="9"/>
  <c r="W55" i="9"/>
  <c r="K55" i="9"/>
  <c r="F55" i="9"/>
  <c r="AA69" i="9"/>
  <c r="AB69" i="9"/>
  <c r="Z69" i="9"/>
  <c r="W74" i="9"/>
  <c r="Q74" i="9"/>
  <c r="K74" i="9"/>
  <c r="E74" i="9"/>
  <c r="T74" i="9"/>
  <c r="M74" i="9"/>
  <c r="F74" i="9"/>
  <c r="S74" i="9"/>
  <c r="L74" i="9"/>
  <c r="D74" i="9"/>
  <c r="V74" i="9"/>
  <c r="O74" i="9"/>
  <c r="H74" i="9"/>
  <c r="U74" i="9"/>
  <c r="N74" i="9"/>
  <c r="G74" i="9"/>
  <c r="X74" i="9"/>
  <c r="B74" i="9"/>
  <c r="R74" i="9"/>
  <c r="P74" i="9"/>
  <c r="J74" i="9"/>
  <c r="I74" i="9"/>
  <c r="Y74" i="9"/>
  <c r="C74" i="9"/>
  <c r="W66" i="9"/>
  <c r="Q66" i="9"/>
  <c r="K66" i="9"/>
  <c r="E66" i="9"/>
  <c r="V66" i="9"/>
  <c r="P66" i="9"/>
  <c r="J66" i="9"/>
  <c r="D66" i="9"/>
  <c r="T66" i="9"/>
  <c r="L66" i="9"/>
  <c r="B66" i="9"/>
  <c r="S66" i="9"/>
  <c r="I66" i="9"/>
  <c r="R66" i="9"/>
  <c r="H66" i="9"/>
  <c r="Y66" i="9"/>
  <c r="O66" i="9"/>
  <c r="G66" i="9"/>
  <c r="X66" i="9"/>
  <c r="N66" i="9"/>
  <c r="F66" i="9"/>
  <c r="U66" i="9"/>
  <c r="M66" i="9"/>
  <c r="C66" i="9"/>
  <c r="U70" i="9"/>
  <c r="O70" i="9"/>
  <c r="I70" i="9"/>
  <c r="V70" i="9"/>
  <c r="N70" i="9"/>
  <c r="G70" i="9"/>
  <c r="T70" i="9"/>
  <c r="M70" i="9"/>
  <c r="F70" i="9"/>
  <c r="Y70" i="9"/>
  <c r="P70" i="9"/>
  <c r="D70" i="9"/>
  <c r="X70" i="9"/>
  <c r="L70" i="9"/>
  <c r="C70" i="9"/>
  <c r="W70" i="9"/>
  <c r="K70" i="9"/>
  <c r="B70" i="9"/>
  <c r="S70" i="9"/>
  <c r="J70" i="9"/>
  <c r="R70" i="9"/>
  <c r="H70" i="9"/>
  <c r="Q70" i="9"/>
  <c r="E70" i="9"/>
  <c r="AB61" i="9"/>
  <c r="AA61" i="9"/>
  <c r="Z61" i="9"/>
  <c r="Y64" i="9"/>
  <c r="S64" i="9"/>
  <c r="M64" i="9"/>
  <c r="G64" i="9"/>
  <c r="X64" i="9"/>
  <c r="R64" i="9"/>
  <c r="L64" i="9"/>
  <c r="F64" i="9"/>
  <c r="T64" i="9"/>
  <c r="J64" i="9"/>
  <c r="B64" i="9"/>
  <c r="Q64" i="9"/>
  <c r="I64" i="9"/>
  <c r="P64" i="9"/>
  <c r="H64" i="9"/>
  <c r="W64" i="9"/>
  <c r="O64" i="9"/>
  <c r="E64" i="9"/>
  <c r="V64" i="9"/>
  <c r="N64" i="9"/>
  <c r="D64" i="9"/>
  <c r="U64" i="9"/>
  <c r="K64" i="9"/>
  <c r="C64" i="9"/>
  <c r="Z57" i="9"/>
  <c r="AB57" i="9"/>
  <c r="AA57" i="9"/>
  <c r="AA70" i="9"/>
  <c r="AB70" i="9"/>
  <c r="Z70" i="9"/>
  <c r="D80" i="9"/>
  <c r="AC31" i="9"/>
  <c r="Y72" i="9"/>
  <c r="S72" i="9"/>
  <c r="M72" i="9"/>
  <c r="G72" i="9"/>
  <c r="X72" i="9"/>
  <c r="Q72" i="9"/>
  <c r="J72" i="9"/>
  <c r="C72" i="9"/>
  <c r="W72" i="9"/>
  <c r="P72" i="9"/>
  <c r="I72" i="9"/>
  <c r="B72" i="9"/>
  <c r="R72" i="9"/>
  <c r="F72" i="9"/>
  <c r="O72" i="9"/>
  <c r="E72" i="9"/>
  <c r="N72" i="9"/>
  <c r="D72" i="9"/>
  <c r="V72" i="9"/>
  <c r="L72" i="9"/>
  <c r="U72" i="9"/>
  <c r="K72" i="9"/>
  <c r="T72" i="9"/>
  <c r="H72" i="9"/>
  <c r="AA74" i="9"/>
  <c r="Z74" i="9"/>
  <c r="AB74" i="9"/>
  <c r="U56" i="9"/>
  <c r="O56" i="9"/>
  <c r="I56" i="9"/>
  <c r="C56" i="9"/>
  <c r="Y56" i="9"/>
  <c r="R56" i="9"/>
  <c r="K56" i="9"/>
  <c r="D56" i="9"/>
  <c r="X56" i="9"/>
  <c r="Q56" i="9"/>
  <c r="J56" i="9"/>
  <c r="B56" i="9"/>
  <c r="W56" i="9"/>
  <c r="P56" i="9"/>
  <c r="H56" i="9"/>
  <c r="V56" i="9"/>
  <c r="N56" i="9"/>
  <c r="G56" i="9"/>
  <c r="T56" i="9"/>
  <c r="M56" i="9"/>
  <c r="F56" i="9"/>
  <c r="S56" i="9"/>
  <c r="L56" i="9"/>
  <c r="E56" i="9"/>
  <c r="T63" i="9"/>
  <c r="N63" i="9"/>
  <c r="H63" i="9"/>
  <c r="B63" i="9"/>
  <c r="Y63" i="9"/>
  <c r="S63" i="9"/>
  <c r="M63" i="9"/>
  <c r="G63" i="9"/>
  <c r="W63" i="9"/>
  <c r="O63" i="9"/>
  <c r="E63" i="9"/>
  <c r="V63" i="9"/>
  <c r="L63" i="9"/>
  <c r="D63" i="9"/>
  <c r="U63" i="9"/>
  <c r="K63" i="9"/>
  <c r="C63" i="9"/>
  <c r="R63" i="9"/>
  <c r="J63" i="9"/>
  <c r="Q63" i="9"/>
  <c r="I63" i="9"/>
  <c r="X63" i="9"/>
  <c r="P63" i="9"/>
  <c r="F63" i="9"/>
  <c r="Y58" i="9"/>
  <c r="S58" i="9"/>
  <c r="M58" i="9"/>
  <c r="G58" i="9"/>
  <c r="U58" i="9"/>
  <c r="N58" i="9"/>
  <c r="F58" i="9"/>
  <c r="T58" i="9"/>
  <c r="L58" i="9"/>
  <c r="E58" i="9"/>
  <c r="R58" i="9"/>
  <c r="K58" i="9"/>
  <c r="D58" i="9"/>
  <c r="X58" i="9"/>
  <c r="Q58" i="9"/>
  <c r="J58" i="9"/>
  <c r="C58" i="9"/>
  <c r="W58" i="9"/>
  <c r="P58" i="9"/>
  <c r="I58" i="9"/>
  <c r="B58" i="9"/>
  <c r="V58" i="9"/>
  <c r="O58" i="9"/>
  <c r="H58" i="9"/>
  <c r="U62" i="9"/>
  <c r="O62" i="9"/>
  <c r="I62" i="9"/>
  <c r="C62" i="9"/>
  <c r="T62" i="9"/>
  <c r="N62" i="9"/>
  <c r="H62" i="9"/>
  <c r="B62" i="9"/>
  <c r="R62" i="9"/>
  <c r="J62" i="9"/>
  <c r="Y62" i="9"/>
  <c r="Q62" i="9"/>
  <c r="G62" i="9"/>
  <c r="X62" i="9"/>
  <c r="P62" i="9"/>
  <c r="F62" i="9"/>
  <c r="W62" i="9"/>
  <c r="M62" i="9"/>
  <c r="E62" i="9"/>
  <c r="V62" i="9"/>
  <c r="L62" i="9"/>
  <c r="D62" i="9"/>
  <c r="S62" i="9"/>
  <c r="K62" i="9"/>
  <c r="AB66" i="9"/>
  <c r="AA66" i="9"/>
  <c r="Z66" i="9"/>
  <c r="U68" i="9"/>
  <c r="O68" i="9"/>
  <c r="I68" i="9"/>
  <c r="C68" i="9"/>
  <c r="T68" i="9"/>
  <c r="N68" i="9"/>
  <c r="H68" i="9"/>
  <c r="B68" i="9"/>
  <c r="V68" i="9"/>
  <c r="L68" i="9"/>
  <c r="D68" i="9"/>
  <c r="S68" i="9"/>
  <c r="K68" i="9"/>
  <c r="R68" i="9"/>
  <c r="J68" i="9"/>
  <c r="Y68" i="9"/>
  <c r="Q68" i="9"/>
  <c r="G68" i="9"/>
  <c r="X68" i="9"/>
  <c r="P68" i="9"/>
  <c r="F68" i="9"/>
  <c r="W68" i="9"/>
  <c r="M68" i="9"/>
  <c r="E68" i="9"/>
  <c r="X65" i="9"/>
  <c r="R65" i="9"/>
  <c r="L65" i="9"/>
  <c r="F65" i="9"/>
  <c r="W65" i="9"/>
  <c r="Q65" i="9"/>
  <c r="K65" i="9"/>
  <c r="E65" i="9"/>
  <c r="Y65" i="9"/>
  <c r="O65" i="9"/>
  <c r="G65" i="9"/>
  <c r="V65" i="9"/>
  <c r="N65" i="9"/>
  <c r="D65" i="9"/>
  <c r="U65" i="9"/>
  <c r="M65" i="9"/>
  <c r="C65" i="9"/>
  <c r="T65" i="9"/>
  <c r="J65" i="9"/>
  <c r="B65" i="9"/>
  <c r="S65" i="9"/>
  <c r="I65" i="9"/>
  <c r="P65" i="9"/>
  <c r="H65" i="9"/>
  <c r="W60" i="9"/>
  <c r="Q60" i="9"/>
  <c r="K60" i="9"/>
  <c r="E60" i="9"/>
  <c r="X60" i="9"/>
  <c r="P60" i="9"/>
  <c r="I60" i="9"/>
  <c r="B60" i="9"/>
  <c r="V60" i="9"/>
  <c r="O60" i="9"/>
  <c r="H60" i="9"/>
  <c r="U60" i="9"/>
  <c r="N60" i="9"/>
  <c r="G60" i="9"/>
  <c r="T60" i="9"/>
  <c r="M60" i="9"/>
  <c r="F60" i="9"/>
  <c r="S60" i="9"/>
  <c r="L60" i="9"/>
  <c r="D60" i="9"/>
  <c r="Y60" i="9"/>
  <c r="R60" i="9"/>
  <c r="J60" i="9"/>
  <c r="C60" i="9"/>
  <c r="AB64" i="9"/>
  <c r="AA64" i="9"/>
  <c r="Z64" i="9"/>
  <c r="AB72" i="9"/>
  <c r="AA72" i="9"/>
  <c r="Z72" i="9"/>
  <c r="AW19" i="5"/>
  <c r="AW13" i="5"/>
  <c r="AW7" i="5"/>
  <c r="AE72" i="5"/>
  <c r="AE66" i="5"/>
  <c r="AE60" i="5"/>
  <c r="AE71" i="5"/>
  <c r="AE65" i="5"/>
  <c r="AE59" i="5"/>
  <c r="AE55" i="5"/>
  <c r="AY24" i="5"/>
  <c r="AY12" i="5"/>
  <c r="AY20" i="5"/>
  <c r="AY14" i="5"/>
  <c r="AX8" i="5"/>
  <c r="AY22" i="5"/>
  <c r="AY16" i="5"/>
  <c r="AY10" i="5"/>
  <c r="AE50" i="5"/>
  <c r="AW18" i="5"/>
  <c r="AY6" i="5"/>
  <c r="AD72" i="5"/>
  <c r="AE61" i="5"/>
  <c r="AD73" i="5"/>
  <c r="AE73" i="5"/>
  <c r="AD67" i="5"/>
  <c r="AE67" i="5"/>
  <c r="AY23" i="5"/>
  <c r="AY17" i="5"/>
  <c r="AY5" i="5"/>
  <c r="AE56" i="5"/>
  <c r="AE62" i="5"/>
  <c r="AE68" i="5"/>
  <c r="AE74" i="5"/>
  <c r="AW15" i="5"/>
  <c r="AD65" i="5"/>
  <c r="AE57" i="5"/>
  <c r="AE63" i="5"/>
  <c r="AE69" i="5"/>
  <c r="AE58" i="5"/>
  <c r="AE64" i="5"/>
  <c r="AE70" i="5"/>
  <c r="AD66" i="5"/>
  <c r="AY11" i="5"/>
  <c r="AX22" i="5"/>
  <c r="AW16" i="5"/>
  <c r="AX21" i="5"/>
  <c r="AX15" i="5"/>
  <c r="AX9" i="5"/>
  <c r="AX10" i="5"/>
  <c r="AX20" i="5"/>
  <c r="AW23" i="5"/>
  <c r="AW11" i="5"/>
  <c r="AX19" i="5"/>
  <c r="AX13" i="5"/>
  <c r="AX7" i="5"/>
  <c r="AY21" i="5"/>
  <c r="AY15" i="5"/>
  <c r="AY9" i="5"/>
  <c r="AX14" i="5"/>
  <c r="AW8" i="5"/>
  <c r="AW22" i="5"/>
  <c r="AW10" i="5"/>
  <c r="AX24" i="5"/>
  <c r="AX18" i="5"/>
  <c r="AX12" i="5"/>
  <c r="AX6" i="5"/>
  <c r="AY8" i="5"/>
  <c r="AW14" i="5"/>
  <c r="AW21" i="5"/>
  <c r="AW9" i="5"/>
  <c r="AX23" i="5"/>
  <c r="AX17" i="5"/>
  <c r="AX11" i="5"/>
  <c r="AX5" i="5"/>
  <c r="AY19" i="5"/>
  <c r="AY13" i="5"/>
  <c r="AY7" i="5"/>
  <c r="AW17" i="5"/>
  <c r="AW5" i="5"/>
  <c r="AX16" i="5"/>
  <c r="AY18" i="5"/>
  <c r="AW20" i="5"/>
  <c r="AW24" i="5"/>
  <c r="AW12" i="5"/>
  <c r="AW6" i="5"/>
  <c r="G49" i="5"/>
  <c r="G48" i="5"/>
  <c r="G47" i="5"/>
  <c r="G46" i="5"/>
  <c r="G45" i="5"/>
  <c r="G44" i="5"/>
  <c r="G43" i="5"/>
  <c r="G42" i="5"/>
  <c r="G41" i="5"/>
  <c r="G40" i="5"/>
  <c r="D49" i="5"/>
  <c r="D48" i="5"/>
  <c r="D47" i="5"/>
  <c r="D46" i="5"/>
  <c r="D45" i="5"/>
  <c r="D44" i="5"/>
  <c r="D43" i="5"/>
  <c r="D42" i="5"/>
  <c r="D41" i="5"/>
  <c r="D40" i="5"/>
  <c r="F49" i="5"/>
  <c r="F48" i="5"/>
  <c r="F47" i="5"/>
  <c r="F46" i="5"/>
  <c r="F45" i="5"/>
  <c r="F44" i="5"/>
  <c r="F43" i="5"/>
  <c r="F42" i="5"/>
  <c r="F41" i="5"/>
  <c r="F40" i="5"/>
  <c r="C49" i="5"/>
  <c r="C48" i="5"/>
  <c r="C47" i="5"/>
  <c r="C46" i="5"/>
  <c r="C45" i="5"/>
  <c r="C44" i="5"/>
  <c r="C43" i="5"/>
  <c r="C42" i="5"/>
  <c r="C41" i="5"/>
  <c r="C40" i="5"/>
  <c r="E49" i="5"/>
  <c r="E48" i="5"/>
  <c r="E47" i="5"/>
  <c r="E46" i="5"/>
  <c r="E45" i="5"/>
  <c r="E44" i="5"/>
  <c r="E43" i="5"/>
  <c r="E42" i="5"/>
  <c r="E41" i="5"/>
  <c r="E40" i="5"/>
  <c r="B49" i="5"/>
  <c r="B48" i="5"/>
  <c r="B47" i="5"/>
  <c r="B46" i="5"/>
  <c r="B45" i="5"/>
  <c r="B44" i="5"/>
  <c r="B43" i="5"/>
  <c r="B42" i="5"/>
  <c r="B41" i="5"/>
  <c r="I40" i="3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B12" i="5"/>
  <c r="B11" i="5"/>
  <c r="B10" i="5"/>
  <c r="B9" i="5"/>
  <c r="B8" i="5"/>
  <c r="B7" i="5"/>
  <c r="B6" i="5"/>
  <c r="I37" i="13" l="1"/>
  <c r="H37" i="13" s="1"/>
  <c r="B38" i="13"/>
  <c r="G37" i="13"/>
  <c r="X36" i="13"/>
  <c r="R22" i="12"/>
  <c r="I23" i="12"/>
  <c r="H23" i="12" s="1"/>
  <c r="G23" i="12" s="1"/>
  <c r="B24" i="12"/>
  <c r="X10" i="13"/>
  <c r="X23" i="13"/>
  <c r="I11" i="13"/>
  <c r="H11" i="13" s="1"/>
  <c r="G11" i="13" s="1"/>
  <c r="B12" i="13"/>
  <c r="I24" i="13"/>
  <c r="H24" i="13" s="1"/>
  <c r="B25" i="13"/>
  <c r="G24" i="13"/>
  <c r="G23" i="13"/>
  <c r="G10" i="13"/>
  <c r="F31" i="10"/>
  <c r="I31" i="10"/>
  <c r="H31" i="10"/>
  <c r="J31" i="10" s="1"/>
  <c r="K31" i="10" s="1"/>
  <c r="B31" i="10"/>
  <c r="G31" i="10"/>
  <c r="R29" i="12"/>
  <c r="G29" i="12"/>
  <c r="R15" i="12"/>
  <c r="I16" i="12"/>
  <c r="H16" i="12" s="1"/>
  <c r="G16" i="12" s="1"/>
  <c r="R7" i="12"/>
  <c r="J30" i="11"/>
  <c r="K30" i="11" s="1"/>
  <c r="F6" i="10"/>
  <c r="E31" i="10" s="1"/>
  <c r="G79" i="9"/>
  <c r="M7" i="9"/>
  <c r="C81" i="9"/>
  <c r="O7" i="9"/>
  <c r="Q75" i="9"/>
  <c r="F79" i="9"/>
  <c r="F104" i="9" s="1"/>
  <c r="O75" i="9"/>
  <c r="W75" i="9"/>
  <c r="K75" i="9"/>
  <c r="C75" i="9"/>
  <c r="M75" i="9"/>
  <c r="AB75" i="9"/>
  <c r="T75" i="9"/>
  <c r="V75" i="9"/>
  <c r="U75" i="9"/>
  <c r="I75" i="9"/>
  <c r="E75" i="9"/>
  <c r="G75" i="9"/>
  <c r="R75" i="9"/>
  <c r="S75" i="9"/>
  <c r="X75" i="9"/>
  <c r="P75" i="9"/>
  <c r="D75" i="9"/>
  <c r="F75" i="9"/>
  <c r="N75" i="9"/>
  <c r="J75" i="9"/>
  <c r="Y75" i="9"/>
  <c r="E80" i="9"/>
  <c r="G104" i="9"/>
  <c r="D105" i="9"/>
  <c r="AC56" i="9"/>
  <c r="G80" i="9"/>
  <c r="G105" i="9" s="1"/>
  <c r="AC11" i="5"/>
  <c r="Z11" i="5"/>
  <c r="AB11" i="5"/>
  <c r="Y11" i="5"/>
  <c r="AA11" i="5"/>
  <c r="X11" i="5"/>
  <c r="AC55" i="5"/>
  <c r="AC5" i="5"/>
  <c r="Z5" i="5"/>
  <c r="AB5" i="5"/>
  <c r="Y5" i="5"/>
  <c r="AA5" i="5"/>
  <c r="X5" i="5"/>
  <c r="AC66" i="5"/>
  <c r="AC16" i="5"/>
  <c r="AB16" i="5"/>
  <c r="Y16" i="5"/>
  <c r="Z16" i="5"/>
  <c r="AA16" i="5"/>
  <c r="X16" i="5"/>
  <c r="AC10" i="5"/>
  <c r="AB10" i="5"/>
  <c r="Y10" i="5"/>
  <c r="Z10" i="5"/>
  <c r="AA10" i="5"/>
  <c r="X10" i="5"/>
  <c r="AC67" i="5"/>
  <c r="AC17" i="5"/>
  <c r="Z17" i="5"/>
  <c r="AB17" i="5"/>
  <c r="Y17" i="5"/>
  <c r="AA17" i="5"/>
  <c r="X17" i="5"/>
  <c r="AC71" i="5"/>
  <c r="AB21" i="5"/>
  <c r="Y21" i="5"/>
  <c r="AA21" i="5"/>
  <c r="X21" i="5"/>
  <c r="Z21" i="5"/>
  <c r="AC21" i="5"/>
  <c r="AB8" i="5"/>
  <c r="Y8" i="5"/>
  <c r="AA8" i="5"/>
  <c r="X8" i="5"/>
  <c r="AC8" i="5"/>
  <c r="Z8" i="5"/>
  <c r="AC73" i="5"/>
  <c r="AC23" i="5"/>
  <c r="Z23" i="5"/>
  <c r="AB23" i="5"/>
  <c r="Y23" i="5"/>
  <c r="AA23" i="5"/>
  <c r="X23" i="5"/>
  <c r="AC65" i="5"/>
  <c r="AB15" i="5"/>
  <c r="Y15" i="5"/>
  <c r="AA15" i="5"/>
  <c r="X15" i="5"/>
  <c r="Z15" i="5"/>
  <c r="AC15" i="5"/>
  <c r="AC70" i="5"/>
  <c r="AB20" i="5"/>
  <c r="Y20" i="5"/>
  <c r="AA20" i="5"/>
  <c r="X20" i="5"/>
  <c r="AC20" i="5"/>
  <c r="Z20" i="5"/>
  <c r="AC69" i="5"/>
  <c r="Z19" i="5"/>
  <c r="AA19" i="5"/>
  <c r="X19" i="5"/>
  <c r="AC19" i="5"/>
  <c r="AB19" i="5"/>
  <c r="Y19" i="5"/>
  <c r="Z7" i="5"/>
  <c r="AA7" i="5"/>
  <c r="X7" i="5"/>
  <c r="AC7" i="5"/>
  <c r="AB7" i="5"/>
  <c r="Y7" i="5"/>
  <c r="AC72" i="5"/>
  <c r="AC22" i="5"/>
  <c r="AB22" i="5"/>
  <c r="Y22" i="5"/>
  <c r="Z22" i="5"/>
  <c r="AA22" i="5"/>
  <c r="X22" i="5"/>
  <c r="AB9" i="5"/>
  <c r="Y9" i="5"/>
  <c r="AA9" i="5"/>
  <c r="X9" i="5"/>
  <c r="Z9" i="5"/>
  <c r="AC9" i="5"/>
  <c r="AB14" i="5"/>
  <c r="Y14" i="5"/>
  <c r="AA14" i="5"/>
  <c r="X14" i="5"/>
  <c r="AC14" i="5"/>
  <c r="Z14" i="5"/>
  <c r="Z13" i="5"/>
  <c r="AA13" i="5"/>
  <c r="X13" i="5"/>
  <c r="AC13" i="5"/>
  <c r="AB13" i="5"/>
  <c r="Y13" i="5"/>
  <c r="AC74" i="5"/>
  <c r="AA24" i="5"/>
  <c r="X24" i="5"/>
  <c r="Z24" i="5"/>
  <c r="AC24" i="5"/>
  <c r="AB24" i="5"/>
  <c r="Y24" i="5"/>
  <c r="AC68" i="5"/>
  <c r="AA18" i="5"/>
  <c r="X18" i="5"/>
  <c r="Z18" i="5"/>
  <c r="AC18" i="5"/>
  <c r="AB18" i="5"/>
  <c r="Y18" i="5"/>
  <c r="AA12" i="5"/>
  <c r="X12" i="5"/>
  <c r="Z12" i="5"/>
  <c r="AC12" i="5"/>
  <c r="AB12" i="5"/>
  <c r="Y12" i="5"/>
  <c r="AA6" i="5"/>
  <c r="X6" i="5"/>
  <c r="Z6" i="5"/>
  <c r="AC6" i="5"/>
  <c r="AB6" i="5"/>
  <c r="Y6" i="5"/>
  <c r="AZ16" i="5"/>
  <c r="Z66" i="5" s="1"/>
  <c r="AZ17" i="5"/>
  <c r="Z67" i="5" s="1"/>
  <c r="AZ21" i="5"/>
  <c r="AA71" i="5" s="1"/>
  <c r="AZ22" i="5"/>
  <c r="AB72" i="5" s="1"/>
  <c r="AE75" i="5"/>
  <c r="AZ7" i="5"/>
  <c r="Z57" i="5" s="1"/>
  <c r="AZ15" i="5"/>
  <c r="AB65" i="5" s="1"/>
  <c r="AZ18" i="5"/>
  <c r="AA68" i="5" s="1"/>
  <c r="AZ11" i="5"/>
  <c r="Z61" i="5" s="1"/>
  <c r="AZ8" i="5"/>
  <c r="AZ13" i="5"/>
  <c r="AZ6" i="5"/>
  <c r="AA66" i="5"/>
  <c r="AZ10" i="5"/>
  <c r="AZ9" i="5"/>
  <c r="AZ14" i="5"/>
  <c r="AZ19" i="5"/>
  <c r="AZ24" i="5"/>
  <c r="AZ20" i="5"/>
  <c r="AZ12" i="5"/>
  <c r="AZ23" i="5"/>
  <c r="AZ5" i="5"/>
  <c r="AT24" i="5"/>
  <c r="AP24" i="5"/>
  <c r="AK24" i="5"/>
  <c r="AG24" i="5"/>
  <c r="AU24" i="5"/>
  <c r="AL24" i="5"/>
  <c r="AQ24" i="5"/>
  <c r="AM24" i="5"/>
  <c r="AF24" i="5"/>
  <c r="AS24" i="5"/>
  <c r="AN24" i="5"/>
  <c r="AH24" i="5"/>
  <c r="AI24" i="5"/>
  <c r="AR24" i="5"/>
  <c r="AJ24" i="5"/>
  <c r="AD24" i="5"/>
  <c r="AO24" i="5"/>
  <c r="AE24" i="5"/>
  <c r="AO18" i="5"/>
  <c r="AF18" i="5"/>
  <c r="AT18" i="5"/>
  <c r="AP18" i="5"/>
  <c r="AK18" i="5"/>
  <c r="AG18" i="5"/>
  <c r="AU18" i="5"/>
  <c r="AL18" i="5"/>
  <c r="AM18" i="5"/>
  <c r="AJ18" i="5"/>
  <c r="AD18" i="5"/>
  <c r="AR18" i="5"/>
  <c r="AE18" i="5"/>
  <c r="AQ18" i="5"/>
  <c r="AH18" i="5"/>
  <c r="AS18" i="5"/>
  <c r="AN18" i="5"/>
  <c r="AI18" i="5"/>
  <c r="AS12" i="5"/>
  <c r="AN12" i="5"/>
  <c r="AJ12" i="5"/>
  <c r="AE12" i="5"/>
  <c r="AO12" i="5"/>
  <c r="AF12" i="5"/>
  <c r="AT12" i="5"/>
  <c r="AP12" i="5"/>
  <c r="AL12" i="5"/>
  <c r="AQ12" i="5"/>
  <c r="AH12" i="5"/>
  <c r="AI12" i="5"/>
  <c r="AU12" i="5"/>
  <c r="AK12" i="5"/>
  <c r="AD12" i="5"/>
  <c r="AM12" i="5"/>
  <c r="AR12" i="5"/>
  <c r="AG12" i="5"/>
  <c r="AR6" i="5"/>
  <c r="AI6" i="5"/>
  <c r="AS6" i="5"/>
  <c r="AN6" i="5"/>
  <c r="AJ6" i="5"/>
  <c r="AE6" i="5"/>
  <c r="AO6" i="5"/>
  <c r="AP6" i="5"/>
  <c r="AK6" i="5"/>
  <c r="AD6" i="5"/>
  <c r="AU6" i="5"/>
  <c r="AF6" i="5"/>
  <c r="AM6" i="5"/>
  <c r="AG6" i="5"/>
  <c r="AT6" i="5"/>
  <c r="AL6" i="5"/>
  <c r="AH6" i="5"/>
  <c r="AQ6" i="5"/>
  <c r="AS23" i="5"/>
  <c r="AP23" i="5"/>
  <c r="AM23" i="5"/>
  <c r="AJ23" i="5"/>
  <c r="AG23" i="5"/>
  <c r="AD23" i="5"/>
  <c r="AU23" i="5"/>
  <c r="AL23" i="5"/>
  <c r="AQ23" i="5"/>
  <c r="AH23" i="5"/>
  <c r="AR23" i="5"/>
  <c r="AN23" i="5"/>
  <c r="AI23" i="5"/>
  <c r="AO23" i="5"/>
  <c r="AK23" i="5"/>
  <c r="AE23" i="5"/>
  <c r="AT23" i="5"/>
  <c r="AF23" i="5"/>
  <c r="AS17" i="5"/>
  <c r="AP17" i="5"/>
  <c r="AM17" i="5"/>
  <c r="AJ17" i="5"/>
  <c r="AG17" i="5"/>
  <c r="AD17" i="5"/>
  <c r="AT17" i="5"/>
  <c r="AK17" i="5"/>
  <c r="AU17" i="5"/>
  <c r="AL17" i="5"/>
  <c r="AQ17" i="5"/>
  <c r="AR17" i="5"/>
  <c r="AE17" i="5"/>
  <c r="AO17" i="5"/>
  <c r="AF17" i="5"/>
  <c r="AH17" i="5"/>
  <c r="AN17" i="5"/>
  <c r="AI17" i="5"/>
  <c r="AS11" i="5"/>
  <c r="AP11" i="5"/>
  <c r="AM11" i="5"/>
  <c r="AJ11" i="5"/>
  <c r="AG11" i="5"/>
  <c r="AD11" i="5"/>
  <c r="AO11" i="5"/>
  <c r="AF11" i="5"/>
  <c r="AT11" i="5"/>
  <c r="AK11" i="5"/>
  <c r="AU11" i="5"/>
  <c r="AL11" i="5"/>
  <c r="AQ11" i="5"/>
  <c r="AH11" i="5"/>
  <c r="AI11" i="5"/>
  <c r="AN11" i="5"/>
  <c r="AR11" i="5"/>
  <c r="AE11" i="5"/>
  <c r="AS5" i="5"/>
  <c r="AP5" i="5"/>
  <c r="AM5" i="5"/>
  <c r="AJ5" i="5"/>
  <c r="AG5" i="5"/>
  <c r="AD5" i="5"/>
  <c r="AN5" i="5"/>
  <c r="AE5" i="5"/>
  <c r="AO5" i="5"/>
  <c r="AF5" i="5"/>
  <c r="AT5" i="5"/>
  <c r="AK5" i="5"/>
  <c r="AU5" i="5"/>
  <c r="AR5" i="5"/>
  <c r="AL5" i="5"/>
  <c r="AH5" i="5"/>
  <c r="AQ5" i="5"/>
  <c r="AI5" i="5"/>
  <c r="AQ22" i="5"/>
  <c r="AH22" i="5"/>
  <c r="AR22" i="5"/>
  <c r="AM22" i="5"/>
  <c r="AI22" i="5"/>
  <c r="AD22" i="5"/>
  <c r="AN22" i="5"/>
  <c r="AS22" i="5"/>
  <c r="AG22" i="5"/>
  <c r="AU22" i="5"/>
  <c r="AP22" i="5"/>
  <c r="AJ22" i="5"/>
  <c r="AO22" i="5"/>
  <c r="AK22" i="5"/>
  <c r="AE22" i="5"/>
  <c r="AT22" i="5"/>
  <c r="AF22" i="5"/>
  <c r="AL22" i="5"/>
  <c r="AU16" i="5"/>
  <c r="AP16" i="5"/>
  <c r="AL16" i="5"/>
  <c r="AG16" i="5"/>
  <c r="AQ16" i="5"/>
  <c r="AH16" i="5"/>
  <c r="AR16" i="5"/>
  <c r="AM16" i="5"/>
  <c r="AK16" i="5"/>
  <c r="AE16" i="5"/>
  <c r="AO16" i="5"/>
  <c r="AF16" i="5"/>
  <c r="AT16" i="5"/>
  <c r="AN16" i="5"/>
  <c r="AI16" i="5"/>
  <c r="AS16" i="5"/>
  <c r="AJ16" i="5"/>
  <c r="AD16" i="5"/>
  <c r="AT10" i="5"/>
  <c r="AK10" i="5"/>
  <c r="AU10" i="5"/>
  <c r="AP10" i="5"/>
  <c r="AL10" i="5"/>
  <c r="AG10" i="5"/>
  <c r="AQ10" i="5"/>
  <c r="AI10" i="5"/>
  <c r="AN10" i="5"/>
  <c r="AS10" i="5"/>
  <c r="AJ10" i="5"/>
  <c r="AD10" i="5"/>
  <c r="AR10" i="5"/>
  <c r="AM10" i="5"/>
  <c r="AE10" i="5"/>
  <c r="AF10" i="5"/>
  <c r="AO10" i="5"/>
  <c r="AH10" i="5"/>
  <c r="AU21" i="5"/>
  <c r="AR21" i="5"/>
  <c r="AO21" i="5"/>
  <c r="AL21" i="5"/>
  <c r="AI21" i="5"/>
  <c r="AF21" i="5"/>
  <c r="AM21" i="5"/>
  <c r="AD21" i="5"/>
  <c r="AN21" i="5"/>
  <c r="AE21" i="5"/>
  <c r="AS21" i="5"/>
  <c r="AH21" i="5"/>
  <c r="AP21" i="5"/>
  <c r="AJ21" i="5"/>
  <c r="AK21" i="5"/>
  <c r="AT21" i="5"/>
  <c r="AQ21" i="5"/>
  <c r="AG21" i="5"/>
  <c r="AU15" i="5"/>
  <c r="AR15" i="5"/>
  <c r="AO15" i="5"/>
  <c r="AL15" i="5"/>
  <c r="AI15" i="5"/>
  <c r="AF15" i="5"/>
  <c r="AQ15" i="5"/>
  <c r="AH15" i="5"/>
  <c r="AM15" i="5"/>
  <c r="AD15" i="5"/>
  <c r="AN15" i="5"/>
  <c r="AT15" i="5"/>
  <c r="AG15" i="5"/>
  <c r="AS15" i="5"/>
  <c r="AJ15" i="5"/>
  <c r="AP15" i="5"/>
  <c r="AK15" i="5"/>
  <c r="AE15" i="5"/>
  <c r="AU9" i="5"/>
  <c r="AR9" i="5"/>
  <c r="AO9" i="5"/>
  <c r="AL9" i="5"/>
  <c r="AI9" i="5"/>
  <c r="AF9" i="5"/>
  <c r="AP9" i="5"/>
  <c r="AG9" i="5"/>
  <c r="AQ9" i="5"/>
  <c r="AH9" i="5"/>
  <c r="AM9" i="5"/>
  <c r="AN9" i="5"/>
  <c r="AS9" i="5"/>
  <c r="AJ9" i="5"/>
  <c r="AD9" i="5"/>
  <c r="AK9" i="5"/>
  <c r="AE9" i="5"/>
  <c r="AT9" i="5"/>
  <c r="AR20" i="5"/>
  <c r="AN20" i="5"/>
  <c r="AI20" i="5"/>
  <c r="AE20" i="5"/>
  <c r="AS20" i="5"/>
  <c r="AJ20" i="5"/>
  <c r="AT20" i="5"/>
  <c r="AO20" i="5"/>
  <c r="AP20" i="5"/>
  <c r="AU20" i="5"/>
  <c r="AK20" i="5"/>
  <c r="AM20" i="5"/>
  <c r="AD20" i="5"/>
  <c r="AF20" i="5"/>
  <c r="AQ20" i="5"/>
  <c r="AL20" i="5"/>
  <c r="AG20" i="5"/>
  <c r="AH20" i="5"/>
  <c r="AM14" i="5"/>
  <c r="AD14" i="5"/>
  <c r="AR14" i="5"/>
  <c r="AN14" i="5"/>
  <c r="AI14" i="5"/>
  <c r="AE14" i="5"/>
  <c r="AS14" i="5"/>
  <c r="AT14" i="5"/>
  <c r="AO14" i="5"/>
  <c r="AF14" i="5"/>
  <c r="AG14" i="5"/>
  <c r="AQ14" i="5"/>
  <c r="AL14" i="5"/>
  <c r="AH14" i="5"/>
  <c r="AJ14" i="5"/>
  <c r="AP14" i="5"/>
  <c r="AK14" i="5"/>
  <c r="AU14" i="5"/>
  <c r="AU8" i="5"/>
  <c r="AQ8" i="5"/>
  <c r="AL8" i="5"/>
  <c r="AH8" i="5"/>
  <c r="AM8" i="5"/>
  <c r="AD8" i="5"/>
  <c r="AR8" i="5"/>
  <c r="AN8" i="5"/>
  <c r="AS8" i="5"/>
  <c r="AJ8" i="5"/>
  <c r="AK8" i="5"/>
  <c r="AE8" i="5"/>
  <c r="AP8" i="5"/>
  <c r="AF8" i="5"/>
  <c r="AT8" i="5"/>
  <c r="AO8" i="5"/>
  <c r="AG8" i="5"/>
  <c r="AI8" i="5"/>
  <c r="AT19" i="5"/>
  <c r="AQ19" i="5"/>
  <c r="AN19" i="5"/>
  <c r="AK19" i="5"/>
  <c r="AH19" i="5"/>
  <c r="AE19" i="5"/>
  <c r="AS19" i="5"/>
  <c r="AJ19" i="5"/>
  <c r="AO19" i="5"/>
  <c r="AF19" i="5"/>
  <c r="AP19" i="5"/>
  <c r="AU19" i="5"/>
  <c r="AI19" i="5"/>
  <c r="AM19" i="5"/>
  <c r="AD19" i="5"/>
  <c r="AR19" i="5"/>
  <c r="AL19" i="5"/>
  <c r="AG19" i="5"/>
  <c r="AT13" i="5"/>
  <c r="AQ13" i="5"/>
  <c r="AN13" i="5"/>
  <c r="AK13" i="5"/>
  <c r="AH13" i="5"/>
  <c r="AE13" i="5"/>
  <c r="AR13" i="5"/>
  <c r="AI13" i="5"/>
  <c r="AS13" i="5"/>
  <c r="AJ13" i="5"/>
  <c r="AO13" i="5"/>
  <c r="AG13" i="5"/>
  <c r="AL13" i="5"/>
  <c r="AP13" i="5"/>
  <c r="AU13" i="5"/>
  <c r="AD13" i="5"/>
  <c r="AM13" i="5"/>
  <c r="AF13" i="5"/>
  <c r="AT7" i="5"/>
  <c r="AQ7" i="5"/>
  <c r="AN7" i="5"/>
  <c r="AK7" i="5"/>
  <c r="AH7" i="5"/>
  <c r="AE7" i="5"/>
  <c r="AM7" i="5"/>
  <c r="AD7" i="5"/>
  <c r="AR7" i="5"/>
  <c r="AI7" i="5"/>
  <c r="AS7" i="5"/>
  <c r="AP7" i="5"/>
  <c r="AU7" i="5"/>
  <c r="AF7" i="5"/>
  <c r="AO7" i="5"/>
  <c r="AG7" i="5"/>
  <c r="AL7" i="5"/>
  <c r="AJ7" i="5"/>
  <c r="L24" i="5"/>
  <c r="L23" i="5"/>
  <c r="L22" i="5"/>
  <c r="L21" i="5"/>
  <c r="L20" i="5"/>
  <c r="L19" i="5"/>
  <c r="L18" i="5"/>
  <c r="L17" i="5"/>
  <c r="M17" i="5" s="1"/>
  <c r="L16" i="5"/>
  <c r="L15" i="5"/>
  <c r="L5" i="5"/>
  <c r="B79" i="5" s="1"/>
  <c r="L7" i="5"/>
  <c r="B81" i="5" s="1"/>
  <c r="L8" i="5"/>
  <c r="B82" i="5" s="1"/>
  <c r="L9" i="5"/>
  <c r="B83" i="5" s="1"/>
  <c r="L10" i="5"/>
  <c r="B84" i="5" s="1"/>
  <c r="L11" i="5"/>
  <c r="B85" i="5" s="1"/>
  <c r="L13" i="5"/>
  <c r="L14" i="5"/>
  <c r="L6" i="5"/>
  <c r="B80" i="5" s="1"/>
  <c r="C7" i="3"/>
  <c r="B7" i="3"/>
  <c r="F25" i="5"/>
  <c r="I38" i="13" l="1"/>
  <c r="H38" i="13" s="1"/>
  <c r="G38" i="13" s="1"/>
  <c r="B39" i="13"/>
  <c r="X37" i="13"/>
  <c r="I24" i="12"/>
  <c r="H24" i="12" s="1"/>
  <c r="B25" i="12"/>
  <c r="G24" i="12"/>
  <c r="R23" i="12"/>
  <c r="I25" i="13"/>
  <c r="H25" i="13" s="1"/>
  <c r="G25" i="13" s="1"/>
  <c r="B26" i="13"/>
  <c r="X24" i="13"/>
  <c r="X11" i="13"/>
  <c r="I12" i="13"/>
  <c r="H12" i="13" s="1"/>
  <c r="B13" i="13"/>
  <c r="R16" i="12"/>
  <c r="E105" i="9"/>
  <c r="N6" i="11"/>
  <c r="D31" i="11" s="1"/>
  <c r="B7" i="10"/>
  <c r="N7" i="10" s="1"/>
  <c r="C32" i="10" s="1"/>
  <c r="E32" i="9"/>
  <c r="B32" i="9"/>
  <c r="F32" i="9"/>
  <c r="D81" i="9"/>
  <c r="G32" i="9"/>
  <c r="D32" i="9"/>
  <c r="AD32" i="9"/>
  <c r="AD57" i="9" s="1"/>
  <c r="AC32" i="9"/>
  <c r="C32" i="9"/>
  <c r="C106" i="9"/>
  <c r="B81" i="9"/>
  <c r="F7" i="9"/>
  <c r="B8" i="9" s="1"/>
  <c r="B110" i="5"/>
  <c r="I110" i="5"/>
  <c r="B109" i="5"/>
  <c r="I109" i="5"/>
  <c r="I83" i="5"/>
  <c r="B108" i="5"/>
  <c r="B107" i="5"/>
  <c r="I107" i="5"/>
  <c r="B106" i="5"/>
  <c r="I106" i="5"/>
  <c r="B105" i="5"/>
  <c r="I105" i="5"/>
  <c r="B104" i="5"/>
  <c r="I104" i="5"/>
  <c r="M14" i="5"/>
  <c r="M8" i="5"/>
  <c r="C82" i="5" s="1"/>
  <c r="C107" i="5" s="1"/>
  <c r="M18" i="5"/>
  <c r="M24" i="5"/>
  <c r="M19" i="5"/>
  <c r="AB67" i="5"/>
  <c r="M13" i="5"/>
  <c r="M22" i="5"/>
  <c r="AB66" i="5"/>
  <c r="M7" i="5"/>
  <c r="C81" i="5" s="1"/>
  <c r="C106" i="5" s="1"/>
  <c r="M5" i="5"/>
  <c r="C79" i="5" s="1"/>
  <c r="C104" i="5" s="1"/>
  <c r="M11" i="5"/>
  <c r="C85" i="5" s="1"/>
  <c r="C110" i="5" s="1"/>
  <c r="M21" i="5"/>
  <c r="M10" i="5"/>
  <c r="C84" i="5" s="1"/>
  <c r="C109" i="5" s="1"/>
  <c r="M16" i="5"/>
  <c r="N17" i="5"/>
  <c r="M6" i="5"/>
  <c r="C80" i="5" s="1"/>
  <c r="C105" i="5" s="1"/>
  <c r="M23" i="5"/>
  <c r="AA72" i="5"/>
  <c r="AA67" i="5"/>
  <c r="AB61" i="5"/>
  <c r="Z72" i="5"/>
  <c r="AB71" i="5"/>
  <c r="Z71" i="5"/>
  <c r="AA65" i="5"/>
  <c r="Z68" i="5"/>
  <c r="Z65" i="5"/>
  <c r="AA57" i="5"/>
  <c r="AB57" i="5"/>
  <c r="AB68" i="5"/>
  <c r="AA61" i="5"/>
  <c r="AA62" i="5"/>
  <c r="Z62" i="5"/>
  <c r="AB62" i="5"/>
  <c r="AB60" i="5"/>
  <c r="AA70" i="5"/>
  <c r="Z70" i="5"/>
  <c r="AB70" i="5"/>
  <c r="Z69" i="5"/>
  <c r="AA69" i="5"/>
  <c r="AB69" i="5"/>
  <c r="Z63" i="5"/>
  <c r="AB63" i="5"/>
  <c r="AA63" i="5"/>
  <c r="AB58" i="5"/>
  <c r="AA74" i="5"/>
  <c r="Z74" i="5"/>
  <c r="AB74" i="5"/>
  <c r="AB55" i="5"/>
  <c r="AA55" i="5"/>
  <c r="AA64" i="5"/>
  <c r="Z64" i="5"/>
  <c r="AB64" i="5"/>
  <c r="Z56" i="5"/>
  <c r="AB56" i="5"/>
  <c r="Z73" i="5"/>
  <c r="AB73" i="5"/>
  <c r="AA73" i="5"/>
  <c r="AB59" i="5"/>
  <c r="AA59" i="5"/>
  <c r="AV14" i="5"/>
  <c r="AV16" i="5"/>
  <c r="AV24" i="5"/>
  <c r="AV7" i="5"/>
  <c r="AV20" i="5"/>
  <c r="AV9" i="5"/>
  <c r="AV22" i="5"/>
  <c r="AV13" i="5"/>
  <c r="AV8" i="5"/>
  <c r="AV15" i="5"/>
  <c r="AV10" i="5"/>
  <c r="AV19" i="5"/>
  <c r="AV21" i="5"/>
  <c r="AV5" i="5"/>
  <c r="AV11" i="5"/>
  <c r="AV17" i="5"/>
  <c r="AV23" i="5"/>
  <c r="AV12" i="5"/>
  <c r="AV18" i="5"/>
  <c r="AV6" i="5"/>
  <c r="L12" i="5"/>
  <c r="M20" i="5"/>
  <c r="M15" i="5"/>
  <c r="M9" i="5"/>
  <c r="C83" i="5" s="1"/>
  <c r="C108" i="5" s="1"/>
  <c r="I39" i="13" l="1"/>
  <c r="H39" i="13" s="1"/>
  <c r="B40" i="13"/>
  <c r="X38" i="13"/>
  <c r="I25" i="12"/>
  <c r="H25" i="12" s="1"/>
  <c r="G25" i="12" s="1"/>
  <c r="B26" i="12"/>
  <c r="R24" i="12"/>
  <c r="B14" i="13"/>
  <c r="I13" i="13"/>
  <c r="H13" i="13" s="1"/>
  <c r="X12" i="13"/>
  <c r="G12" i="13"/>
  <c r="B27" i="13"/>
  <c r="I26" i="13"/>
  <c r="H26" i="13" s="1"/>
  <c r="X25" i="13"/>
  <c r="G7" i="12"/>
  <c r="O7" i="10"/>
  <c r="D32" i="10" s="1"/>
  <c r="M7" i="10"/>
  <c r="D106" i="9"/>
  <c r="B106" i="9"/>
  <c r="I106" i="9"/>
  <c r="G81" i="9"/>
  <c r="N8" i="9"/>
  <c r="AC57" i="9"/>
  <c r="I108" i="5"/>
  <c r="I99" i="5"/>
  <c r="B124" i="5"/>
  <c r="C124" i="5"/>
  <c r="N13" i="5"/>
  <c r="N15" i="5"/>
  <c r="N21" i="5"/>
  <c r="N7" i="5"/>
  <c r="D81" i="5" s="1"/>
  <c r="D106" i="5" s="1"/>
  <c r="N18" i="5"/>
  <c r="N23" i="5"/>
  <c r="N16" i="5"/>
  <c r="N11" i="5"/>
  <c r="D85" i="5" s="1"/>
  <c r="D110" i="5" s="1"/>
  <c r="N19" i="5"/>
  <c r="N8" i="5"/>
  <c r="D82" i="5" s="1"/>
  <c r="D107" i="5" s="1"/>
  <c r="N20" i="5"/>
  <c r="B99" i="5"/>
  <c r="N22" i="5"/>
  <c r="M12" i="5"/>
  <c r="N12" i="5" s="1"/>
  <c r="N9" i="5"/>
  <c r="D83" i="5" s="1"/>
  <c r="D108" i="5" s="1"/>
  <c r="N6" i="5"/>
  <c r="D80" i="5" s="1"/>
  <c r="D105" i="5" s="1"/>
  <c r="N10" i="5"/>
  <c r="D84" i="5" s="1"/>
  <c r="D109" i="5" s="1"/>
  <c r="N5" i="5"/>
  <c r="D79" i="5" s="1"/>
  <c r="D104" i="5" s="1"/>
  <c r="C99" i="5"/>
  <c r="N24" i="5"/>
  <c r="N14" i="5"/>
  <c r="W56" i="5"/>
  <c r="Q56" i="5"/>
  <c r="K56" i="5"/>
  <c r="T56" i="5"/>
  <c r="M56" i="5"/>
  <c r="F56" i="5"/>
  <c r="C56" i="5"/>
  <c r="S56" i="5"/>
  <c r="L56" i="5"/>
  <c r="E56" i="5"/>
  <c r="B56" i="5"/>
  <c r="Y56" i="5"/>
  <c r="R56" i="5"/>
  <c r="J56" i="5"/>
  <c r="D56" i="5"/>
  <c r="H56" i="5"/>
  <c r="X56" i="5"/>
  <c r="P56" i="5"/>
  <c r="I56" i="5"/>
  <c r="V56" i="5"/>
  <c r="N56" i="5"/>
  <c r="G56" i="5"/>
  <c r="O56" i="5"/>
  <c r="V55" i="5"/>
  <c r="P55" i="5"/>
  <c r="J55" i="5"/>
  <c r="U55" i="5"/>
  <c r="O55" i="5"/>
  <c r="I55" i="5"/>
  <c r="C55" i="5"/>
  <c r="T55" i="5"/>
  <c r="N55" i="5"/>
  <c r="H55" i="5"/>
  <c r="B55" i="5"/>
  <c r="Y55" i="5"/>
  <c r="S55" i="5"/>
  <c r="M55" i="5"/>
  <c r="G55" i="5"/>
  <c r="W55" i="5"/>
  <c r="Q55" i="5"/>
  <c r="K55" i="5"/>
  <c r="D55" i="5"/>
  <c r="X55" i="5"/>
  <c r="R55" i="5"/>
  <c r="L55" i="5"/>
  <c r="F55" i="5"/>
  <c r="T63" i="5"/>
  <c r="N63" i="5"/>
  <c r="H63" i="5"/>
  <c r="X63" i="5"/>
  <c r="R63" i="5"/>
  <c r="L63" i="5"/>
  <c r="F63" i="5"/>
  <c r="W63" i="5"/>
  <c r="Q63" i="5"/>
  <c r="K63" i="5"/>
  <c r="E63" i="5"/>
  <c r="P63" i="5"/>
  <c r="D63" i="5"/>
  <c r="O63" i="5"/>
  <c r="B63" i="5"/>
  <c r="Y63" i="5"/>
  <c r="M63" i="5"/>
  <c r="I63" i="5"/>
  <c r="V63" i="5"/>
  <c r="J63" i="5"/>
  <c r="S63" i="5"/>
  <c r="G63" i="5"/>
  <c r="C63" i="5"/>
  <c r="U63" i="5"/>
  <c r="W66" i="5"/>
  <c r="Q66" i="5"/>
  <c r="K66" i="5"/>
  <c r="E66" i="5"/>
  <c r="U66" i="5"/>
  <c r="O66" i="5"/>
  <c r="I66" i="5"/>
  <c r="T66" i="5"/>
  <c r="N66" i="5"/>
  <c r="H66" i="5"/>
  <c r="S66" i="5"/>
  <c r="G66" i="5"/>
  <c r="R66" i="5"/>
  <c r="F66" i="5"/>
  <c r="L66" i="5"/>
  <c r="P66" i="5"/>
  <c r="D66" i="5"/>
  <c r="C66" i="5"/>
  <c r="X66" i="5"/>
  <c r="Y66" i="5"/>
  <c r="M66" i="5"/>
  <c r="V66" i="5"/>
  <c r="J66" i="5"/>
  <c r="B66" i="5"/>
  <c r="W68" i="5"/>
  <c r="Q68" i="5"/>
  <c r="K68" i="5"/>
  <c r="E68" i="5"/>
  <c r="U68" i="5"/>
  <c r="O68" i="5"/>
  <c r="I68" i="5"/>
  <c r="T68" i="5"/>
  <c r="N68" i="5"/>
  <c r="H68" i="5"/>
  <c r="Y68" i="5"/>
  <c r="M68" i="5"/>
  <c r="C68" i="5"/>
  <c r="R68" i="5"/>
  <c r="X68" i="5"/>
  <c r="L68" i="5"/>
  <c r="F68" i="5"/>
  <c r="V68" i="5"/>
  <c r="J68" i="5"/>
  <c r="B68" i="5"/>
  <c r="S68" i="5"/>
  <c r="G68" i="5"/>
  <c r="P68" i="5"/>
  <c r="D68" i="5"/>
  <c r="T71" i="5"/>
  <c r="N71" i="5"/>
  <c r="H71" i="5"/>
  <c r="X71" i="5"/>
  <c r="R71" i="5"/>
  <c r="L71" i="5"/>
  <c r="F71" i="5"/>
  <c r="W71" i="5"/>
  <c r="Q71" i="5"/>
  <c r="K71" i="5"/>
  <c r="E71" i="5"/>
  <c r="P71" i="5"/>
  <c r="D71" i="5"/>
  <c r="O71" i="5"/>
  <c r="Y71" i="5"/>
  <c r="M71" i="5"/>
  <c r="U71" i="5"/>
  <c r="I71" i="5"/>
  <c r="V71" i="5"/>
  <c r="J71" i="5"/>
  <c r="C71" i="5"/>
  <c r="S71" i="5"/>
  <c r="G71" i="5"/>
  <c r="B71" i="5"/>
  <c r="W72" i="5"/>
  <c r="Q72" i="5"/>
  <c r="K72" i="5"/>
  <c r="E72" i="5"/>
  <c r="U72" i="5"/>
  <c r="O72" i="5"/>
  <c r="I72" i="5"/>
  <c r="T72" i="5"/>
  <c r="N72" i="5"/>
  <c r="H72" i="5"/>
  <c r="Y72" i="5"/>
  <c r="M72" i="5"/>
  <c r="X72" i="5"/>
  <c r="L72" i="5"/>
  <c r="R72" i="5"/>
  <c r="V72" i="5"/>
  <c r="J72" i="5"/>
  <c r="C72" i="5"/>
  <c r="F72" i="5"/>
  <c r="S72" i="5"/>
  <c r="G72" i="5"/>
  <c r="P72" i="5"/>
  <c r="D72" i="5"/>
  <c r="B72" i="5"/>
  <c r="W64" i="5"/>
  <c r="Q64" i="5"/>
  <c r="K64" i="5"/>
  <c r="E64" i="5"/>
  <c r="U64" i="5"/>
  <c r="O64" i="5"/>
  <c r="I64" i="5"/>
  <c r="T64" i="5"/>
  <c r="N64" i="5"/>
  <c r="H64" i="5"/>
  <c r="Y64" i="5"/>
  <c r="M64" i="5"/>
  <c r="B64" i="5"/>
  <c r="X64" i="5"/>
  <c r="L64" i="5"/>
  <c r="R64" i="5"/>
  <c r="V64" i="5"/>
  <c r="J64" i="5"/>
  <c r="S64" i="5"/>
  <c r="G64" i="5"/>
  <c r="F64" i="5"/>
  <c r="P64" i="5"/>
  <c r="D64" i="5"/>
  <c r="C64" i="5"/>
  <c r="W62" i="5"/>
  <c r="Q62" i="5"/>
  <c r="K62" i="5"/>
  <c r="E62" i="5"/>
  <c r="U62" i="5"/>
  <c r="O62" i="5"/>
  <c r="T62" i="5"/>
  <c r="N62" i="5"/>
  <c r="H62" i="5"/>
  <c r="S62" i="5"/>
  <c r="I62" i="5"/>
  <c r="C62" i="5"/>
  <c r="R62" i="5"/>
  <c r="G62" i="5"/>
  <c r="X62" i="5"/>
  <c r="P62" i="5"/>
  <c r="F62" i="5"/>
  <c r="B62" i="5"/>
  <c r="Y62" i="5"/>
  <c r="M62" i="5"/>
  <c r="D62" i="5"/>
  <c r="V62" i="5"/>
  <c r="J62" i="5"/>
  <c r="L62" i="5"/>
  <c r="T73" i="5"/>
  <c r="N73" i="5"/>
  <c r="H73" i="5"/>
  <c r="X73" i="5"/>
  <c r="R73" i="5"/>
  <c r="L73" i="5"/>
  <c r="F73" i="5"/>
  <c r="W73" i="5"/>
  <c r="Q73" i="5"/>
  <c r="K73" i="5"/>
  <c r="E73" i="5"/>
  <c r="V73" i="5"/>
  <c r="J73" i="5"/>
  <c r="O73" i="5"/>
  <c r="U73" i="5"/>
  <c r="I73" i="5"/>
  <c r="C73" i="5"/>
  <c r="S73" i="5"/>
  <c r="G73" i="5"/>
  <c r="P73" i="5"/>
  <c r="D73" i="5"/>
  <c r="B73" i="5"/>
  <c r="Y73" i="5"/>
  <c r="M73" i="5"/>
  <c r="W60" i="5"/>
  <c r="Q60" i="5"/>
  <c r="K60" i="5"/>
  <c r="T60" i="5"/>
  <c r="M60" i="5"/>
  <c r="F60" i="5"/>
  <c r="S60" i="5"/>
  <c r="L60" i="5"/>
  <c r="D60" i="5"/>
  <c r="Y60" i="5"/>
  <c r="R60" i="5"/>
  <c r="J60" i="5"/>
  <c r="C60" i="5"/>
  <c r="V60" i="5"/>
  <c r="X60" i="5"/>
  <c r="P60" i="5"/>
  <c r="I60" i="5"/>
  <c r="O60" i="5"/>
  <c r="U60" i="5"/>
  <c r="N60" i="5"/>
  <c r="G60" i="5"/>
  <c r="H60" i="5"/>
  <c r="W70" i="5"/>
  <c r="Q70" i="5"/>
  <c r="K70" i="5"/>
  <c r="E70" i="5"/>
  <c r="U70" i="5"/>
  <c r="O70" i="5"/>
  <c r="I70" i="5"/>
  <c r="T70" i="5"/>
  <c r="N70" i="5"/>
  <c r="H70" i="5"/>
  <c r="S70" i="5"/>
  <c r="G70" i="5"/>
  <c r="B70" i="5"/>
  <c r="R70" i="5"/>
  <c r="F70" i="5"/>
  <c r="P70" i="5"/>
  <c r="D70" i="5"/>
  <c r="X70" i="5"/>
  <c r="L70" i="5"/>
  <c r="Y70" i="5"/>
  <c r="M70" i="5"/>
  <c r="V70" i="5"/>
  <c r="J70" i="5"/>
  <c r="C70" i="5"/>
  <c r="T59" i="5"/>
  <c r="N59" i="5"/>
  <c r="H59" i="5"/>
  <c r="Y59" i="5"/>
  <c r="R59" i="5"/>
  <c r="K59" i="5"/>
  <c r="D59" i="5"/>
  <c r="F59" i="5"/>
  <c r="X59" i="5"/>
  <c r="Q59" i="5"/>
  <c r="J59" i="5"/>
  <c r="W59" i="5"/>
  <c r="P59" i="5"/>
  <c r="I59" i="5"/>
  <c r="U59" i="5"/>
  <c r="V59" i="5"/>
  <c r="O59" i="5"/>
  <c r="G59" i="5"/>
  <c r="C59" i="5"/>
  <c r="S59" i="5"/>
  <c r="L59" i="5"/>
  <c r="E59" i="5"/>
  <c r="M59" i="5"/>
  <c r="T67" i="5"/>
  <c r="N67" i="5"/>
  <c r="H67" i="5"/>
  <c r="X67" i="5"/>
  <c r="R67" i="5"/>
  <c r="L67" i="5"/>
  <c r="F67" i="5"/>
  <c r="W67" i="5"/>
  <c r="Q67" i="5"/>
  <c r="K67" i="5"/>
  <c r="E67" i="5"/>
  <c r="P67" i="5"/>
  <c r="D67" i="5"/>
  <c r="O67" i="5"/>
  <c r="C67" i="5"/>
  <c r="Y67" i="5"/>
  <c r="M67" i="5"/>
  <c r="V67" i="5"/>
  <c r="J67" i="5"/>
  <c r="B67" i="5"/>
  <c r="I67" i="5"/>
  <c r="S67" i="5"/>
  <c r="G67" i="5"/>
  <c r="U67" i="5"/>
  <c r="T65" i="5"/>
  <c r="N65" i="5"/>
  <c r="H65" i="5"/>
  <c r="X65" i="5"/>
  <c r="R65" i="5"/>
  <c r="L65" i="5"/>
  <c r="F65" i="5"/>
  <c r="W65" i="5"/>
  <c r="Q65" i="5"/>
  <c r="K65" i="5"/>
  <c r="E65" i="5"/>
  <c r="V65" i="5"/>
  <c r="J65" i="5"/>
  <c r="U65" i="5"/>
  <c r="I65" i="5"/>
  <c r="S65" i="5"/>
  <c r="G65" i="5"/>
  <c r="P65" i="5"/>
  <c r="D65" i="5"/>
  <c r="C65" i="5"/>
  <c r="Y65" i="5"/>
  <c r="M65" i="5"/>
  <c r="B65" i="5"/>
  <c r="O65" i="5"/>
  <c r="T57" i="5"/>
  <c r="N57" i="5"/>
  <c r="V57" i="5"/>
  <c r="O57" i="5"/>
  <c r="G57" i="5"/>
  <c r="B57" i="5"/>
  <c r="U57" i="5"/>
  <c r="M57" i="5"/>
  <c r="F57" i="5"/>
  <c r="J57" i="5"/>
  <c r="S57" i="5"/>
  <c r="L57" i="5"/>
  <c r="E57" i="5"/>
  <c r="Q57" i="5"/>
  <c r="Y57" i="5"/>
  <c r="R57" i="5"/>
  <c r="K57" i="5"/>
  <c r="D57" i="5"/>
  <c r="W57" i="5"/>
  <c r="P57" i="5"/>
  <c r="I57" i="5"/>
  <c r="C57" i="5"/>
  <c r="X57" i="5"/>
  <c r="T69" i="5"/>
  <c r="N69" i="5"/>
  <c r="H69" i="5"/>
  <c r="X69" i="5"/>
  <c r="R69" i="5"/>
  <c r="L69" i="5"/>
  <c r="F69" i="5"/>
  <c r="W69" i="5"/>
  <c r="Q69" i="5"/>
  <c r="K69" i="5"/>
  <c r="E69" i="5"/>
  <c r="V69" i="5"/>
  <c r="J69" i="5"/>
  <c r="U69" i="5"/>
  <c r="I69" i="5"/>
  <c r="B69" i="5"/>
  <c r="S69" i="5"/>
  <c r="G69" i="5"/>
  <c r="P69" i="5"/>
  <c r="D69" i="5"/>
  <c r="Y69" i="5"/>
  <c r="M69" i="5"/>
  <c r="C69" i="5"/>
  <c r="O69" i="5"/>
  <c r="T61" i="5"/>
  <c r="N61" i="5"/>
  <c r="H61" i="5"/>
  <c r="W61" i="5"/>
  <c r="Q61" i="5"/>
  <c r="E61" i="5"/>
  <c r="R61" i="5"/>
  <c r="I61" i="5"/>
  <c r="Y61" i="5"/>
  <c r="P61" i="5"/>
  <c r="G61" i="5"/>
  <c r="C61" i="5"/>
  <c r="X61" i="5"/>
  <c r="O61" i="5"/>
  <c r="F61" i="5"/>
  <c r="V61" i="5"/>
  <c r="M61" i="5"/>
  <c r="D61" i="5"/>
  <c r="B61" i="5"/>
  <c r="S61" i="5"/>
  <c r="J61" i="5"/>
  <c r="U61" i="5"/>
  <c r="W58" i="5"/>
  <c r="Q58" i="5"/>
  <c r="K58" i="5"/>
  <c r="E58" i="5"/>
  <c r="X58" i="5"/>
  <c r="P58" i="5"/>
  <c r="I58" i="5"/>
  <c r="L58" i="5"/>
  <c r="V58" i="5"/>
  <c r="O58" i="5"/>
  <c r="H58" i="5"/>
  <c r="U58" i="5"/>
  <c r="N58" i="5"/>
  <c r="G58" i="5"/>
  <c r="S58" i="5"/>
  <c r="M58" i="5"/>
  <c r="F58" i="5"/>
  <c r="D58" i="5"/>
  <c r="Y58" i="5"/>
  <c r="R58" i="5"/>
  <c r="J58" i="5"/>
  <c r="B58" i="5"/>
  <c r="C58" i="5"/>
  <c r="X74" i="5"/>
  <c r="R74" i="5"/>
  <c r="L74" i="5"/>
  <c r="F74" i="5"/>
  <c r="W74" i="5"/>
  <c r="Q74" i="5"/>
  <c r="K74" i="5"/>
  <c r="E74" i="5"/>
  <c r="U74" i="5"/>
  <c r="O74" i="5"/>
  <c r="I74" i="5"/>
  <c r="T74" i="5"/>
  <c r="N74" i="5"/>
  <c r="H74" i="5"/>
  <c r="J74" i="5"/>
  <c r="C74" i="5"/>
  <c r="Y74" i="5"/>
  <c r="G74" i="5"/>
  <c r="V74" i="5"/>
  <c r="D74" i="5"/>
  <c r="B74" i="5"/>
  <c r="P74" i="5"/>
  <c r="S74" i="5"/>
  <c r="M74" i="5"/>
  <c r="L25" i="5"/>
  <c r="M25" i="5" l="1"/>
  <c r="D99" i="5" s="1"/>
  <c r="I40" i="13"/>
  <c r="H40" i="13" s="1"/>
  <c r="B41" i="13"/>
  <c r="G40" i="13"/>
  <c r="X39" i="13"/>
  <c r="G39" i="13"/>
  <c r="B27" i="12"/>
  <c r="I26" i="12"/>
  <c r="H26" i="12" s="1"/>
  <c r="G26" i="12"/>
  <c r="R25" i="12"/>
  <c r="X26" i="13"/>
  <c r="X13" i="13"/>
  <c r="I27" i="13"/>
  <c r="H27" i="13" s="1"/>
  <c r="B28" i="13"/>
  <c r="G13" i="13"/>
  <c r="G26" i="13"/>
  <c r="I14" i="13"/>
  <c r="H14" i="13" s="1"/>
  <c r="G14" i="13" s="1"/>
  <c r="B15" i="13"/>
  <c r="I32" i="10"/>
  <c r="H32" i="10"/>
  <c r="J32" i="10" s="1"/>
  <c r="K32" i="10" s="1"/>
  <c r="G32" i="10"/>
  <c r="F32" i="10"/>
  <c r="B32" i="10"/>
  <c r="I8" i="12"/>
  <c r="H8" i="12" s="1"/>
  <c r="F7" i="10"/>
  <c r="E32" i="10" s="1"/>
  <c r="G106" i="9"/>
  <c r="F81" i="9"/>
  <c r="M8" i="9"/>
  <c r="O8" i="9"/>
  <c r="C82" i="9"/>
  <c r="I124" i="5"/>
  <c r="G79" i="5"/>
  <c r="G104" i="5" s="1"/>
  <c r="G82" i="5"/>
  <c r="G107" i="5" s="1"/>
  <c r="G81" i="5"/>
  <c r="G106" i="5" s="1"/>
  <c r="G80" i="5"/>
  <c r="G105" i="5" s="1"/>
  <c r="E80" i="5"/>
  <c r="E105" i="5" s="1"/>
  <c r="G84" i="5"/>
  <c r="G109" i="5" s="1"/>
  <c r="E85" i="5"/>
  <c r="E110" i="5" s="1"/>
  <c r="G85" i="5"/>
  <c r="G110" i="5" s="1"/>
  <c r="G83" i="5"/>
  <c r="G108" i="5" s="1"/>
  <c r="F34" i="5"/>
  <c r="D34" i="5"/>
  <c r="G34" i="5"/>
  <c r="C34" i="5"/>
  <c r="B34" i="5"/>
  <c r="B59" i="5" s="1"/>
  <c r="E34" i="5"/>
  <c r="AC34" i="5"/>
  <c r="AC59" i="5" s="1"/>
  <c r="AC31" i="5"/>
  <c r="AC56" i="5" s="1"/>
  <c r="AD30" i="5"/>
  <c r="AD55" i="5" s="1"/>
  <c r="F79" i="5" s="1"/>
  <c r="F104" i="5" s="1"/>
  <c r="AC30" i="5"/>
  <c r="B30" i="5"/>
  <c r="AD34" i="5"/>
  <c r="AD59" i="5" s="1"/>
  <c r="AD36" i="5"/>
  <c r="AD61" i="5" s="1"/>
  <c r="AC36" i="5"/>
  <c r="AC61" i="5" s="1"/>
  <c r="AD37" i="5"/>
  <c r="AD39" i="5"/>
  <c r="C39" i="5"/>
  <c r="F39" i="5"/>
  <c r="E39" i="5"/>
  <c r="AC39" i="5"/>
  <c r="AC64" i="5" s="1"/>
  <c r="D39" i="5"/>
  <c r="B39" i="5"/>
  <c r="G39" i="5"/>
  <c r="AD35" i="5"/>
  <c r="AD60" i="5" s="1"/>
  <c r="B35" i="5"/>
  <c r="B60" i="5" s="1"/>
  <c r="AC35" i="5"/>
  <c r="AC60" i="5" s="1"/>
  <c r="AC33" i="5"/>
  <c r="AC58" i="5" s="1"/>
  <c r="AD32" i="5"/>
  <c r="AD57" i="5" s="1"/>
  <c r="AC32" i="5"/>
  <c r="AC57" i="5" s="1"/>
  <c r="AD38" i="5"/>
  <c r="F38" i="5"/>
  <c r="E38" i="5"/>
  <c r="AC38" i="5"/>
  <c r="AC63" i="5" s="1"/>
  <c r="D38" i="5"/>
  <c r="C38" i="5"/>
  <c r="B38" i="5"/>
  <c r="G38" i="5"/>
  <c r="AC37" i="5"/>
  <c r="F37" i="5"/>
  <c r="C37" i="5"/>
  <c r="E37" i="5"/>
  <c r="B37" i="5"/>
  <c r="D37" i="5"/>
  <c r="G37" i="5"/>
  <c r="D124" i="5" l="1"/>
  <c r="N25" i="5"/>
  <c r="F81" i="5"/>
  <c r="F106" i="5" s="1"/>
  <c r="I41" i="13"/>
  <c r="H41" i="13" s="1"/>
  <c r="G41" i="13"/>
  <c r="X40" i="13"/>
  <c r="R26" i="12"/>
  <c r="B28" i="12"/>
  <c r="I27" i="12"/>
  <c r="H27" i="12" s="1"/>
  <c r="X14" i="13"/>
  <c r="I28" i="13"/>
  <c r="H28" i="13" s="1"/>
  <c r="G28" i="13" s="1"/>
  <c r="I15" i="13"/>
  <c r="H15" i="13" s="1"/>
  <c r="G15" i="13" s="1"/>
  <c r="X27" i="13"/>
  <c r="G27" i="13"/>
  <c r="R8" i="12"/>
  <c r="B8" i="10"/>
  <c r="N8" i="10"/>
  <c r="C33" i="10" s="1"/>
  <c r="F106" i="9"/>
  <c r="AC33" i="9"/>
  <c r="D82" i="9"/>
  <c r="C107" i="9"/>
  <c r="B82" i="9"/>
  <c r="F8" i="9"/>
  <c r="B9" i="9" s="1"/>
  <c r="F83" i="5"/>
  <c r="F108" i="5" s="1"/>
  <c r="G99" i="5"/>
  <c r="AC50" i="5"/>
  <c r="AC62" i="5"/>
  <c r="X41" i="13" l="1"/>
  <c r="R27" i="12"/>
  <c r="G27" i="12"/>
  <c r="I28" i="12"/>
  <c r="H28" i="12" s="1"/>
  <c r="G28" i="12" s="1"/>
  <c r="X15" i="13"/>
  <c r="X28" i="13"/>
  <c r="G124" i="5"/>
  <c r="G100" i="5"/>
  <c r="N7" i="11"/>
  <c r="D32" i="11" s="1"/>
  <c r="O8" i="10"/>
  <c r="D33" i="10" s="1"/>
  <c r="M8" i="10"/>
  <c r="D107" i="9"/>
  <c r="N9" i="9"/>
  <c r="AC58" i="9"/>
  <c r="B107" i="9"/>
  <c r="I107" i="9"/>
  <c r="G82" i="9"/>
  <c r="E82" i="9"/>
  <c r="R28" i="12" l="1"/>
  <c r="H33" i="10"/>
  <c r="B33" i="10"/>
  <c r="I33" i="10"/>
  <c r="J33" i="10" s="1"/>
  <c r="G33" i="10"/>
  <c r="F33" i="10"/>
  <c r="G8" i="12"/>
  <c r="F8" i="10"/>
  <c r="E33" i="10" s="1"/>
  <c r="E107" i="9"/>
  <c r="G107" i="9"/>
  <c r="M9" i="9"/>
  <c r="C83" i="9"/>
  <c r="O9" i="9"/>
  <c r="K33" i="10" l="1"/>
  <c r="I9" i="12"/>
  <c r="H9" i="12" s="1"/>
  <c r="B9" i="10"/>
  <c r="N9" i="10"/>
  <c r="C34" i="10" s="1"/>
  <c r="D83" i="9"/>
  <c r="F34" i="9"/>
  <c r="B34" i="9"/>
  <c r="AC34" i="9"/>
  <c r="C34" i="9"/>
  <c r="AD34" i="9"/>
  <c r="D34" i="9"/>
  <c r="E34" i="9"/>
  <c r="G34" i="9"/>
  <c r="C108" i="9"/>
  <c r="B83" i="9"/>
  <c r="F9" i="9"/>
  <c r="B10" i="9" s="1"/>
  <c r="R9" i="12" l="1"/>
  <c r="M9" i="10"/>
  <c r="O9" i="10"/>
  <c r="D34" i="10" s="1"/>
  <c r="B108" i="9"/>
  <c r="I83" i="9"/>
  <c r="G83" i="9"/>
  <c r="B59" i="9"/>
  <c r="D108" i="9"/>
  <c r="AD59" i="9"/>
  <c r="N10" i="9"/>
  <c r="F34" i="10" l="1"/>
  <c r="I34" i="10"/>
  <c r="H34" i="10"/>
  <c r="J34" i="10" s="1"/>
  <c r="B34" i="10"/>
  <c r="G34" i="10"/>
  <c r="N8" i="11"/>
  <c r="D33" i="11" s="1"/>
  <c r="F9" i="10"/>
  <c r="E34" i="10" s="1"/>
  <c r="G108" i="9"/>
  <c r="M10" i="9"/>
  <c r="C84" i="9"/>
  <c r="O10" i="9"/>
  <c r="AD75" i="9"/>
  <c r="F83" i="9"/>
  <c r="I108" i="9"/>
  <c r="I99" i="9"/>
  <c r="B75" i="9"/>
  <c r="K34" i="10" l="1"/>
  <c r="G9" i="12"/>
  <c r="B10" i="10"/>
  <c r="N10" i="10" s="1"/>
  <c r="C35" i="10" s="1"/>
  <c r="B84" i="9"/>
  <c r="F10" i="9"/>
  <c r="B11" i="9" s="1"/>
  <c r="F108" i="9"/>
  <c r="G35" i="9"/>
  <c r="E35" i="9"/>
  <c r="C35" i="9"/>
  <c r="F35" i="9"/>
  <c r="D35" i="9"/>
  <c r="AD35" i="9"/>
  <c r="D84" i="9"/>
  <c r="AC35" i="9"/>
  <c r="B35" i="9"/>
  <c r="C109" i="9"/>
  <c r="I10" i="12" l="1"/>
  <c r="H10" i="12" s="1"/>
  <c r="O10" i="10"/>
  <c r="D35" i="10" s="1"/>
  <c r="M10" i="10"/>
  <c r="N11" i="9"/>
  <c r="D109" i="9"/>
  <c r="AC60" i="9"/>
  <c r="B109" i="9"/>
  <c r="I109" i="9"/>
  <c r="G84" i="9"/>
  <c r="E84" i="9"/>
  <c r="I35" i="10" l="1"/>
  <c r="H35" i="10"/>
  <c r="J35" i="10" s="1"/>
  <c r="B35" i="10"/>
  <c r="G35" i="10"/>
  <c r="F35" i="10"/>
  <c r="R10" i="12"/>
  <c r="F10" i="10"/>
  <c r="E35" i="10" s="1"/>
  <c r="E109" i="9"/>
  <c r="M11" i="9"/>
  <c r="C85" i="9"/>
  <c r="O11" i="9"/>
  <c r="G109" i="9"/>
  <c r="K35" i="10" l="1"/>
  <c r="N9" i="11"/>
  <c r="D34" i="11" s="1"/>
  <c r="B11" i="10"/>
  <c r="N11" i="10"/>
  <c r="C36" i="10" s="1"/>
  <c r="B36" i="9"/>
  <c r="F36" i="9"/>
  <c r="AD36" i="9"/>
  <c r="AC36" i="9"/>
  <c r="E36" i="9"/>
  <c r="G36" i="9"/>
  <c r="D36" i="9"/>
  <c r="D85" i="9"/>
  <c r="C36" i="9"/>
  <c r="C110" i="9"/>
  <c r="C124" i="9" s="1"/>
  <c r="C99" i="9"/>
  <c r="B85" i="9"/>
  <c r="F11" i="9"/>
  <c r="B12" i="9" s="1"/>
  <c r="G10" i="12" l="1"/>
  <c r="M11" i="10"/>
  <c r="O11" i="10"/>
  <c r="D36" i="10" s="1"/>
  <c r="AC61" i="9"/>
  <c r="AC50" i="9"/>
  <c r="B110" i="9"/>
  <c r="B124" i="9" s="1"/>
  <c r="I110" i="9"/>
  <c r="G85" i="9"/>
  <c r="E85" i="9"/>
  <c r="B99" i="9"/>
  <c r="I124" i="9" s="1"/>
  <c r="N12" i="9"/>
  <c r="F12" i="9"/>
  <c r="B13" i="9"/>
  <c r="D110" i="9"/>
  <c r="H36" i="10" l="1"/>
  <c r="B36" i="10"/>
  <c r="F36" i="10"/>
  <c r="I36" i="10"/>
  <c r="J36" i="10" s="1"/>
  <c r="G36" i="10"/>
  <c r="I11" i="12"/>
  <c r="H11" i="12" s="1"/>
  <c r="F11" i="10"/>
  <c r="E36" i="10" s="1"/>
  <c r="C50" i="10"/>
  <c r="O12" i="9"/>
  <c r="M12" i="9"/>
  <c r="G110" i="9"/>
  <c r="G99" i="9"/>
  <c r="N13" i="9"/>
  <c r="B14" i="9"/>
  <c r="F13" i="9"/>
  <c r="E110" i="9"/>
  <c r="AC75" i="9"/>
  <c r="K36" i="10" l="1"/>
  <c r="R11" i="12"/>
  <c r="G124" i="9"/>
  <c r="G100" i="9"/>
  <c r="B12" i="10"/>
  <c r="F12" i="10" s="1"/>
  <c r="E37" i="10" s="1"/>
  <c r="B50" i="10"/>
  <c r="N14" i="9"/>
  <c r="B15" i="9"/>
  <c r="F14" i="9"/>
  <c r="M13" i="9"/>
  <c r="O13" i="9"/>
  <c r="N12" i="10" l="1"/>
  <c r="O12" i="10" s="1"/>
  <c r="N10" i="11"/>
  <c r="D35" i="11" s="1"/>
  <c r="M12" i="10"/>
  <c r="F13" i="10"/>
  <c r="E38" i="10" s="1"/>
  <c r="N13" i="10"/>
  <c r="N15" i="9"/>
  <c r="F15" i="9"/>
  <c r="B16" i="9"/>
  <c r="M14" i="9"/>
  <c r="O14" i="9"/>
  <c r="G11" i="12" l="1"/>
  <c r="F50" i="10"/>
  <c r="F51" i="10" s="1"/>
  <c r="N14" i="10"/>
  <c r="F14" i="10"/>
  <c r="E39" i="10" s="1"/>
  <c r="M13" i="10"/>
  <c r="O13" i="10"/>
  <c r="N16" i="9"/>
  <c r="B17" i="9"/>
  <c r="F16" i="9"/>
  <c r="M15" i="9"/>
  <c r="O15" i="9"/>
  <c r="I12" i="12" l="1"/>
  <c r="H12" i="12" s="1"/>
  <c r="N15" i="10"/>
  <c r="F15" i="10"/>
  <c r="E40" i="10" s="1"/>
  <c r="M14" i="10"/>
  <c r="O14" i="10"/>
  <c r="N17" i="9"/>
  <c r="F17" i="9"/>
  <c r="B18" i="9"/>
  <c r="M16" i="9"/>
  <c r="O16" i="9"/>
  <c r="G38" i="3"/>
  <c r="F38" i="3"/>
  <c r="E38" i="3"/>
  <c r="D38" i="3"/>
  <c r="G37" i="3"/>
  <c r="F37" i="3"/>
  <c r="E37" i="3"/>
  <c r="D37" i="3"/>
  <c r="G36" i="3"/>
  <c r="F36" i="3"/>
  <c r="E36" i="3"/>
  <c r="D36" i="3"/>
  <c r="G35" i="3"/>
  <c r="F35" i="3"/>
  <c r="E35" i="3"/>
  <c r="D35" i="3"/>
  <c r="G34" i="3"/>
  <c r="G40" i="3" s="1"/>
  <c r="F34" i="3"/>
  <c r="E34" i="3"/>
  <c r="E40" i="3" s="1"/>
  <c r="D34" i="3"/>
  <c r="I52" i="3"/>
  <c r="I62" i="3"/>
  <c r="I72" i="3"/>
  <c r="I82" i="3"/>
  <c r="I92" i="3"/>
  <c r="I102" i="3"/>
  <c r="I112" i="3"/>
  <c r="I117" i="3"/>
  <c r="I42" i="3"/>
  <c r="G117" i="3"/>
  <c r="F117" i="3"/>
  <c r="G112" i="3"/>
  <c r="F112" i="3"/>
  <c r="G102" i="3"/>
  <c r="F102" i="3"/>
  <c r="G92" i="3"/>
  <c r="F92" i="3"/>
  <c r="G82" i="3"/>
  <c r="F82" i="3"/>
  <c r="G72" i="3"/>
  <c r="F72" i="3"/>
  <c r="G62" i="3"/>
  <c r="F62" i="3"/>
  <c r="G52" i="3"/>
  <c r="F52" i="3"/>
  <c r="G42" i="3"/>
  <c r="F42" i="3"/>
  <c r="E117" i="3"/>
  <c r="D117" i="3"/>
  <c r="E112" i="3"/>
  <c r="D112" i="3"/>
  <c r="E102" i="3"/>
  <c r="D102" i="3"/>
  <c r="E92" i="3"/>
  <c r="D92" i="3"/>
  <c r="E82" i="3"/>
  <c r="D82" i="3"/>
  <c r="E72" i="3"/>
  <c r="D72" i="3"/>
  <c r="E62" i="3"/>
  <c r="D62" i="3"/>
  <c r="E52" i="3"/>
  <c r="D52" i="3"/>
  <c r="E42" i="3"/>
  <c r="D42" i="3"/>
  <c r="C38" i="3"/>
  <c r="C37" i="3"/>
  <c r="C36" i="3"/>
  <c r="C35" i="3"/>
  <c r="C34" i="3"/>
  <c r="C40" i="3" s="1"/>
  <c r="C117" i="3"/>
  <c r="B117" i="3"/>
  <c r="C112" i="3"/>
  <c r="B112" i="3"/>
  <c r="C102" i="3"/>
  <c r="B102" i="3"/>
  <c r="C92" i="3"/>
  <c r="B92" i="3"/>
  <c r="C82" i="3"/>
  <c r="B82" i="3"/>
  <c r="C72" i="3"/>
  <c r="B72" i="3"/>
  <c r="C62" i="3"/>
  <c r="B62" i="3"/>
  <c r="C52" i="3"/>
  <c r="B52" i="3"/>
  <c r="C42" i="3"/>
  <c r="B42" i="3"/>
  <c r="B38" i="3"/>
  <c r="B37" i="3"/>
  <c r="B36" i="3"/>
  <c r="B35" i="3"/>
  <c r="B34" i="3"/>
  <c r="E6" i="3"/>
  <c r="D6" i="3"/>
  <c r="E36" i="5" l="1"/>
  <c r="E32" i="5"/>
  <c r="O37" i="13"/>
  <c r="W37" i="13" s="1"/>
  <c r="O11" i="13"/>
  <c r="W11" i="13" s="1"/>
  <c r="O24" i="13"/>
  <c r="W24" i="13" s="1"/>
  <c r="L11" i="12"/>
  <c r="Q11" i="12" s="1"/>
  <c r="M33" i="9"/>
  <c r="M35" i="9"/>
  <c r="M31" i="9"/>
  <c r="M34" i="9"/>
  <c r="M30" i="9"/>
  <c r="M32" i="9"/>
  <c r="M36" i="9"/>
  <c r="M34" i="5"/>
  <c r="M30" i="5"/>
  <c r="M35" i="5"/>
  <c r="M33" i="5"/>
  <c r="M32" i="5"/>
  <c r="M31" i="5"/>
  <c r="M36" i="5"/>
  <c r="L35" i="13"/>
  <c r="T35" i="13" s="1"/>
  <c r="K22" i="12"/>
  <c r="P22" i="12" s="1"/>
  <c r="L9" i="13"/>
  <c r="T9" i="13" s="1"/>
  <c r="L22" i="13"/>
  <c r="T22" i="13" s="1"/>
  <c r="Q33" i="13"/>
  <c r="Y33" i="13" s="1"/>
  <c r="Q7" i="13"/>
  <c r="Y7" i="13" s="1"/>
  <c r="N7" i="12"/>
  <c r="S7" i="12" s="1"/>
  <c r="Q20" i="13"/>
  <c r="Y20" i="13" s="1"/>
  <c r="N20" i="12"/>
  <c r="S20" i="12" s="1"/>
  <c r="AD31" i="9"/>
  <c r="AD31" i="5"/>
  <c r="Q34" i="13"/>
  <c r="Y34" i="13" s="1"/>
  <c r="Q21" i="13"/>
  <c r="Y21" i="13" s="1"/>
  <c r="N21" i="12"/>
  <c r="S21" i="12" s="1"/>
  <c r="N8" i="12"/>
  <c r="S8" i="12" s="1"/>
  <c r="Q8" i="13"/>
  <c r="Y8" i="13" s="1"/>
  <c r="T36" i="9"/>
  <c r="T32" i="9"/>
  <c r="T33" i="9"/>
  <c r="T34" i="9"/>
  <c r="T30" i="9"/>
  <c r="T31" i="9"/>
  <c r="T35" i="9"/>
  <c r="T35" i="5"/>
  <c r="T34" i="5"/>
  <c r="T30" i="5"/>
  <c r="T33" i="5"/>
  <c r="T58" i="5" s="1"/>
  <c r="E82" i="5" s="1"/>
  <c r="E107" i="5" s="1"/>
  <c r="T36" i="5"/>
  <c r="T32" i="5"/>
  <c r="T31" i="5"/>
  <c r="K39" i="13"/>
  <c r="S39" i="13" s="1"/>
  <c r="J26" i="12"/>
  <c r="O26" i="12" s="1"/>
  <c r="K13" i="13"/>
  <c r="S13" i="13" s="1"/>
  <c r="K26" i="13"/>
  <c r="S26" i="13" s="1"/>
  <c r="M35" i="13"/>
  <c r="U35" i="13" s="1"/>
  <c r="M9" i="13"/>
  <c r="U9" i="13" s="1"/>
  <c r="K9" i="12"/>
  <c r="P9" i="12" s="1"/>
  <c r="M22" i="13"/>
  <c r="U22" i="13" s="1"/>
  <c r="M39" i="13"/>
  <c r="U39" i="13" s="1"/>
  <c r="K13" i="12"/>
  <c r="P13" i="12" s="1"/>
  <c r="M13" i="13"/>
  <c r="U13" i="13" s="1"/>
  <c r="M26" i="13"/>
  <c r="U26" i="13" s="1"/>
  <c r="O34" i="13"/>
  <c r="W34" i="13" s="1"/>
  <c r="O8" i="13"/>
  <c r="W8" i="13" s="1"/>
  <c r="O21" i="13"/>
  <c r="W21" i="13" s="1"/>
  <c r="L8" i="12"/>
  <c r="Q8" i="12" s="1"/>
  <c r="O38" i="13"/>
  <c r="W38" i="13" s="1"/>
  <c r="O25" i="13"/>
  <c r="W25" i="13" s="1"/>
  <c r="O12" i="13"/>
  <c r="W12" i="13" s="1"/>
  <c r="L12" i="12"/>
  <c r="Q41" i="13"/>
  <c r="Y41" i="13" s="1"/>
  <c r="N15" i="12"/>
  <c r="S15" i="12" s="1"/>
  <c r="Q28" i="13"/>
  <c r="Y28" i="13" s="1"/>
  <c r="Q16" i="13"/>
  <c r="Y16" i="13" s="1"/>
  <c r="N28" i="12"/>
  <c r="S28" i="12" s="1"/>
  <c r="Q15" i="13"/>
  <c r="Y15" i="13" s="1"/>
  <c r="R35" i="9"/>
  <c r="X34" i="9"/>
  <c r="R31" i="9"/>
  <c r="X30" i="9"/>
  <c r="X50" i="9" s="1"/>
  <c r="R36" i="9"/>
  <c r="X35" i="9"/>
  <c r="R32" i="9"/>
  <c r="X31" i="9"/>
  <c r="X36" i="9"/>
  <c r="R33" i="9"/>
  <c r="X32" i="9"/>
  <c r="R30" i="9"/>
  <c r="R50" i="9" s="1"/>
  <c r="X33" i="9"/>
  <c r="R34" i="9"/>
  <c r="X31" i="5"/>
  <c r="X34" i="5"/>
  <c r="R36" i="5"/>
  <c r="X33" i="5"/>
  <c r="R35" i="5"/>
  <c r="R30" i="5"/>
  <c r="X30" i="5"/>
  <c r="X36" i="5"/>
  <c r="R34" i="5"/>
  <c r="R32" i="5"/>
  <c r="R31" i="5"/>
  <c r="X35" i="5"/>
  <c r="R33" i="5"/>
  <c r="X32" i="5"/>
  <c r="D40" i="3"/>
  <c r="I35" i="9"/>
  <c r="I31" i="9"/>
  <c r="I33" i="9"/>
  <c r="I36" i="9"/>
  <c r="I32" i="9"/>
  <c r="I34" i="9"/>
  <c r="I30" i="9"/>
  <c r="I50" i="9" s="1"/>
  <c r="I32" i="5"/>
  <c r="I36" i="5"/>
  <c r="I31" i="5"/>
  <c r="I35" i="5"/>
  <c r="I34" i="5"/>
  <c r="I30" i="5"/>
  <c r="I33" i="5"/>
  <c r="AA36" i="9"/>
  <c r="AA32" i="9"/>
  <c r="AA34" i="9"/>
  <c r="AA30" i="9"/>
  <c r="AA35" i="9"/>
  <c r="AA60" i="9" s="1"/>
  <c r="F84" i="9" s="1"/>
  <c r="F109" i="9" s="1"/>
  <c r="AA33" i="9"/>
  <c r="AA58" i="9" s="1"/>
  <c r="F82" i="9" s="1"/>
  <c r="F107" i="9" s="1"/>
  <c r="AA31" i="9"/>
  <c r="AA56" i="9" s="1"/>
  <c r="AA36" i="5"/>
  <c r="AA34" i="5"/>
  <c r="AA31" i="5"/>
  <c r="AA56" i="5" s="1"/>
  <c r="AA33" i="5"/>
  <c r="AA58" i="5" s="1"/>
  <c r="AA30" i="5"/>
  <c r="AA35" i="5"/>
  <c r="AA60" i="5" s="1"/>
  <c r="F84" i="5" s="1"/>
  <c r="F109" i="5" s="1"/>
  <c r="AA32" i="5"/>
  <c r="K38" i="13"/>
  <c r="S38" i="13" s="1"/>
  <c r="J25" i="12"/>
  <c r="O25" i="12" s="1"/>
  <c r="K12" i="13"/>
  <c r="S12" i="13" s="1"/>
  <c r="K25" i="13"/>
  <c r="S25" i="13" s="1"/>
  <c r="M38" i="13"/>
  <c r="U38" i="13" s="1"/>
  <c r="M12" i="13"/>
  <c r="U12" i="13" s="1"/>
  <c r="K12" i="12"/>
  <c r="M25" i="13"/>
  <c r="U25" i="13" s="1"/>
  <c r="O41" i="13"/>
  <c r="W41" i="13" s="1"/>
  <c r="O16" i="13"/>
  <c r="W16" i="13" s="1"/>
  <c r="O15" i="13"/>
  <c r="W15" i="13" s="1"/>
  <c r="L15" i="12"/>
  <c r="Q15" i="12" s="1"/>
  <c r="O28" i="13"/>
  <c r="W28" i="13" s="1"/>
  <c r="J34" i="13"/>
  <c r="R34" i="13" s="1"/>
  <c r="J21" i="13"/>
  <c r="R21" i="13" s="1"/>
  <c r="J8" i="13"/>
  <c r="R8" i="13" s="1"/>
  <c r="J8" i="12"/>
  <c r="O8" i="12" s="1"/>
  <c r="K35" i="13"/>
  <c r="S35" i="13" s="1"/>
  <c r="J22" i="12"/>
  <c r="O22" i="12" s="1"/>
  <c r="K9" i="13"/>
  <c r="S9" i="13" s="1"/>
  <c r="K22" i="13"/>
  <c r="S22" i="13" s="1"/>
  <c r="H34" i="9"/>
  <c r="H30" i="9"/>
  <c r="H35" i="9"/>
  <c r="H31" i="9"/>
  <c r="H36" i="9"/>
  <c r="H32" i="9"/>
  <c r="H57" i="9" s="1"/>
  <c r="H33" i="9"/>
  <c r="H30" i="5"/>
  <c r="H36" i="5"/>
  <c r="H35" i="5"/>
  <c r="H34" i="5"/>
  <c r="H33" i="5"/>
  <c r="H32" i="5"/>
  <c r="H57" i="5" s="1"/>
  <c r="E81" i="5" s="1"/>
  <c r="E106" i="5" s="1"/>
  <c r="H31" i="5"/>
  <c r="J35" i="13"/>
  <c r="R35" i="13" s="1"/>
  <c r="J22" i="13"/>
  <c r="R22" i="13" s="1"/>
  <c r="J9" i="12"/>
  <c r="O9" i="12" s="1"/>
  <c r="J9" i="13"/>
  <c r="R9" i="13" s="1"/>
  <c r="J39" i="13"/>
  <c r="R39" i="13" s="1"/>
  <c r="J13" i="12"/>
  <c r="O13" i="12" s="1"/>
  <c r="J26" i="13"/>
  <c r="R26" i="13" s="1"/>
  <c r="J13" i="13"/>
  <c r="R13" i="13" s="1"/>
  <c r="L36" i="13"/>
  <c r="T36" i="13" s="1"/>
  <c r="L10" i="13"/>
  <c r="T10" i="13" s="1"/>
  <c r="K23" i="12"/>
  <c r="P23" i="12" s="1"/>
  <c r="L23" i="13"/>
  <c r="T23" i="13" s="1"/>
  <c r="L40" i="13"/>
  <c r="T40" i="13" s="1"/>
  <c r="K27" i="12"/>
  <c r="P27" i="12" s="1"/>
  <c r="L14" i="13"/>
  <c r="T14" i="13" s="1"/>
  <c r="L27" i="13"/>
  <c r="T27" i="13" s="1"/>
  <c r="N35" i="13"/>
  <c r="V35" i="13" s="1"/>
  <c r="L22" i="12"/>
  <c r="Q22" i="12" s="1"/>
  <c r="N9" i="13"/>
  <c r="V9" i="13" s="1"/>
  <c r="N22" i="13"/>
  <c r="V22" i="13" s="1"/>
  <c r="N39" i="13"/>
  <c r="V39" i="13" s="1"/>
  <c r="N13" i="13"/>
  <c r="V13" i="13" s="1"/>
  <c r="N26" i="13"/>
  <c r="V26" i="13" s="1"/>
  <c r="L26" i="12"/>
  <c r="Q26" i="12" s="1"/>
  <c r="Q40" i="13"/>
  <c r="Y40" i="13" s="1"/>
  <c r="N27" i="12"/>
  <c r="S27" i="12" s="1"/>
  <c r="Q27" i="13"/>
  <c r="Y27" i="13" s="1"/>
  <c r="N14" i="12"/>
  <c r="S14" i="12" s="1"/>
  <c r="Q14" i="13"/>
  <c r="Y14" i="13" s="1"/>
  <c r="F32" i="5"/>
  <c r="F36" i="5"/>
  <c r="K34" i="13"/>
  <c r="S34" i="13" s="1"/>
  <c r="J21" i="12"/>
  <c r="O21" i="12" s="1"/>
  <c r="K8" i="13"/>
  <c r="S8" i="13" s="1"/>
  <c r="K21" i="13"/>
  <c r="S21" i="13" s="1"/>
  <c r="B43" i="3"/>
  <c r="N38" i="13"/>
  <c r="V38" i="13" s="1"/>
  <c r="N12" i="13"/>
  <c r="V12" i="13" s="1"/>
  <c r="N25" i="13"/>
  <c r="V25" i="13" s="1"/>
  <c r="L25" i="12"/>
  <c r="Q25" i="12" s="1"/>
  <c r="K36" i="9"/>
  <c r="K32" i="9"/>
  <c r="K34" i="9"/>
  <c r="K30" i="9"/>
  <c r="K35" i="9"/>
  <c r="K33" i="9"/>
  <c r="K31" i="9"/>
  <c r="K36" i="5"/>
  <c r="K61" i="5" s="1"/>
  <c r="K35" i="5"/>
  <c r="K34" i="5"/>
  <c r="K30" i="5"/>
  <c r="K31" i="5"/>
  <c r="K33" i="5"/>
  <c r="K32" i="5"/>
  <c r="M40" i="13"/>
  <c r="U40" i="13" s="1"/>
  <c r="M14" i="13"/>
  <c r="U14" i="13" s="1"/>
  <c r="M27" i="13"/>
  <c r="U27" i="13" s="1"/>
  <c r="K14" i="12"/>
  <c r="P14" i="12" s="1"/>
  <c r="O39" i="13"/>
  <c r="W39" i="13" s="1"/>
  <c r="O13" i="13"/>
  <c r="W13" i="13" s="1"/>
  <c r="O26" i="13"/>
  <c r="W26" i="13" s="1"/>
  <c r="L13" i="12"/>
  <c r="Q13" i="12" s="1"/>
  <c r="S36" i="9"/>
  <c r="Y35" i="9"/>
  <c r="S32" i="9"/>
  <c r="Y31" i="9"/>
  <c r="S34" i="9"/>
  <c r="Y33" i="9"/>
  <c r="S30" i="9"/>
  <c r="S31" i="9"/>
  <c r="Y30" i="9"/>
  <c r="Y36" i="9"/>
  <c r="Y34" i="9"/>
  <c r="Y32" i="9"/>
  <c r="S35" i="9"/>
  <c r="S33" i="9"/>
  <c r="S36" i="5"/>
  <c r="S31" i="5"/>
  <c r="Y32" i="5"/>
  <c r="Y31" i="5"/>
  <c r="S35" i="5"/>
  <c r="Y33" i="5"/>
  <c r="Y36" i="5"/>
  <c r="S34" i="5"/>
  <c r="S30" i="5"/>
  <c r="Y35" i="5"/>
  <c r="S33" i="5"/>
  <c r="Y34" i="5"/>
  <c r="S32" i="5"/>
  <c r="Y30" i="5"/>
  <c r="F40" i="3"/>
  <c r="J35" i="9"/>
  <c r="J31" i="9"/>
  <c r="J36" i="9"/>
  <c r="J32" i="9"/>
  <c r="J33" i="9"/>
  <c r="J34" i="9"/>
  <c r="J30" i="9"/>
  <c r="J36" i="5"/>
  <c r="J30" i="5"/>
  <c r="J32" i="5"/>
  <c r="J35" i="5"/>
  <c r="J31" i="5"/>
  <c r="J34" i="5"/>
  <c r="J33" i="5"/>
  <c r="Z35" i="9"/>
  <c r="Z31" i="9"/>
  <c r="Z36" i="9"/>
  <c r="Z32" i="9"/>
  <c r="Z33" i="9"/>
  <c r="Z34" i="9"/>
  <c r="Z59" i="9" s="1"/>
  <c r="E83" i="9" s="1"/>
  <c r="E108" i="9" s="1"/>
  <c r="Z30" i="9"/>
  <c r="Z31" i="5"/>
  <c r="Z36" i="5"/>
  <c r="Z32" i="5"/>
  <c r="Z34" i="5"/>
  <c r="Z59" i="5" s="1"/>
  <c r="E83" i="5" s="1"/>
  <c r="E108" i="5" s="1"/>
  <c r="Z33" i="5"/>
  <c r="Z58" i="5" s="1"/>
  <c r="Z30" i="5"/>
  <c r="Z35" i="5"/>
  <c r="Z60" i="5" s="1"/>
  <c r="J40" i="13"/>
  <c r="R40" i="13" s="1"/>
  <c r="J27" i="13"/>
  <c r="R27" i="13" s="1"/>
  <c r="J14" i="13"/>
  <c r="R14" i="13" s="1"/>
  <c r="J14" i="12"/>
  <c r="O14" i="12" s="1"/>
  <c r="L33" i="13"/>
  <c r="T33" i="13" s="1"/>
  <c r="O34" i="9"/>
  <c r="O30" i="9"/>
  <c r="L7" i="13"/>
  <c r="T7" i="13" s="1"/>
  <c r="O36" i="9"/>
  <c r="O32" i="9"/>
  <c r="O35" i="9"/>
  <c r="O33" i="9"/>
  <c r="O31" i="9"/>
  <c r="L20" i="13"/>
  <c r="T20" i="13" s="1"/>
  <c r="K20" i="12"/>
  <c r="P20" i="12" s="1"/>
  <c r="O32" i="5"/>
  <c r="O31" i="5"/>
  <c r="O30" i="5"/>
  <c r="O36" i="5"/>
  <c r="O35" i="5"/>
  <c r="O34" i="5"/>
  <c r="O33" i="5"/>
  <c r="C31" i="9"/>
  <c r="C31" i="5"/>
  <c r="L37" i="13"/>
  <c r="T37" i="13" s="1"/>
  <c r="K24" i="12"/>
  <c r="P24" i="12" s="1"/>
  <c r="L11" i="13"/>
  <c r="T11" i="13" s="1"/>
  <c r="L24" i="13"/>
  <c r="T24" i="13" s="1"/>
  <c r="L41" i="13"/>
  <c r="T41" i="13" s="1"/>
  <c r="L16" i="13"/>
  <c r="T16" i="13" s="1"/>
  <c r="L15" i="13"/>
  <c r="T15" i="13" s="1"/>
  <c r="L28" i="13"/>
  <c r="T28" i="13" s="1"/>
  <c r="K28" i="12"/>
  <c r="P28" i="12" s="1"/>
  <c r="N36" i="13"/>
  <c r="V36" i="13" s="1"/>
  <c r="N10" i="13"/>
  <c r="V10" i="13" s="1"/>
  <c r="N23" i="13"/>
  <c r="V23" i="13" s="1"/>
  <c r="L23" i="12"/>
  <c r="Q23" i="12" s="1"/>
  <c r="N40" i="13"/>
  <c r="V40" i="13" s="1"/>
  <c r="L27" i="12"/>
  <c r="Q27" i="12" s="1"/>
  <c r="N14" i="13"/>
  <c r="V14" i="13" s="1"/>
  <c r="N27" i="13"/>
  <c r="V27" i="13" s="1"/>
  <c r="Q38" i="13"/>
  <c r="Y38" i="13" s="1"/>
  <c r="Q25" i="13"/>
  <c r="Y25" i="13" s="1"/>
  <c r="N12" i="12"/>
  <c r="N25" i="12"/>
  <c r="S25" i="12" s="1"/>
  <c r="Q12" i="13"/>
  <c r="Y12" i="13" s="1"/>
  <c r="G36" i="5"/>
  <c r="G32" i="5"/>
  <c r="H79" i="9"/>
  <c r="H80" i="9"/>
  <c r="H79" i="5"/>
  <c r="H80" i="5"/>
  <c r="O33" i="13"/>
  <c r="W33" i="13" s="1"/>
  <c r="L7" i="12"/>
  <c r="Q7" i="12" s="1"/>
  <c r="O7" i="13"/>
  <c r="W7" i="13" s="1"/>
  <c r="O20" i="13"/>
  <c r="W20" i="13" s="1"/>
  <c r="I53" i="3"/>
  <c r="I54" i="3" s="1"/>
  <c r="I55" i="3" s="1"/>
  <c r="I56" i="3" s="1"/>
  <c r="I57" i="3" s="1"/>
  <c r="I58" i="3" s="1"/>
  <c r="I59" i="3" s="1"/>
  <c r="I60" i="3" s="1"/>
  <c r="I61" i="3" s="1"/>
  <c r="Q35" i="13"/>
  <c r="Y35" i="13" s="1"/>
  <c r="Q22" i="13"/>
  <c r="Y22" i="13" s="1"/>
  <c r="N9" i="12"/>
  <c r="S9" i="12" s="1"/>
  <c r="Q9" i="13"/>
  <c r="Y9" i="13" s="1"/>
  <c r="N22" i="12"/>
  <c r="S22" i="12" s="1"/>
  <c r="Q35" i="9"/>
  <c r="W34" i="9"/>
  <c r="Q31" i="9"/>
  <c r="W30" i="9"/>
  <c r="W36" i="9"/>
  <c r="Q33" i="9"/>
  <c r="W32" i="9"/>
  <c r="Q32" i="9"/>
  <c r="W31" i="9"/>
  <c r="Q34" i="9"/>
  <c r="Q30" i="9"/>
  <c r="W35" i="9"/>
  <c r="Q36" i="9"/>
  <c r="W33" i="9"/>
  <c r="W32" i="5"/>
  <c r="W31" i="5"/>
  <c r="W35" i="5"/>
  <c r="Q31" i="5"/>
  <c r="Q36" i="5"/>
  <c r="Q33" i="5"/>
  <c r="W33" i="5"/>
  <c r="Q35" i="5"/>
  <c r="W34" i="5"/>
  <c r="W36" i="5"/>
  <c r="Q34" i="5"/>
  <c r="Q30" i="5"/>
  <c r="Q32" i="5"/>
  <c r="W30" i="5"/>
  <c r="B40" i="3"/>
  <c r="N34" i="13"/>
  <c r="V34" i="13" s="1"/>
  <c r="L21" i="12"/>
  <c r="Q21" i="12" s="1"/>
  <c r="N8" i="13"/>
  <c r="V8" i="13" s="1"/>
  <c r="N21" i="13"/>
  <c r="V21" i="13" s="1"/>
  <c r="K40" i="13"/>
  <c r="S40" i="13" s="1"/>
  <c r="J27" i="12"/>
  <c r="O27" i="12" s="1"/>
  <c r="K14" i="13"/>
  <c r="S14" i="13" s="1"/>
  <c r="K27" i="13"/>
  <c r="S27" i="13" s="1"/>
  <c r="O35" i="13"/>
  <c r="W35" i="13" s="1"/>
  <c r="L9" i="12"/>
  <c r="Q9" i="12" s="1"/>
  <c r="O9" i="13"/>
  <c r="W9" i="13" s="1"/>
  <c r="O22" i="13"/>
  <c r="W22" i="13" s="1"/>
  <c r="AB36" i="9"/>
  <c r="AB32" i="9"/>
  <c r="AB33" i="9"/>
  <c r="AB34" i="9"/>
  <c r="AB30" i="9"/>
  <c r="AB35" i="9"/>
  <c r="AB31" i="9"/>
  <c r="AB33" i="5"/>
  <c r="AB34" i="5"/>
  <c r="AB30" i="5"/>
  <c r="AB32" i="5"/>
  <c r="AB31" i="5"/>
  <c r="AB35" i="5"/>
  <c r="AB36" i="5"/>
  <c r="J36" i="13"/>
  <c r="R36" i="13" s="1"/>
  <c r="J23" i="13"/>
  <c r="R23" i="13" s="1"/>
  <c r="J10" i="12"/>
  <c r="O10" i="12" s="1"/>
  <c r="J10" i="13"/>
  <c r="R10" i="13" s="1"/>
  <c r="K33" i="13"/>
  <c r="S33" i="13" s="1"/>
  <c r="K20" i="13"/>
  <c r="S20" i="13" s="1"/>
  <c r="N33" i="9"/>
  <c r="N34" i="9"/>
  <c r="N30" i="9"/>
  <c r="J20" i="12"/>
  <c r="O20" i="12" s="1"/>
  <c r="N35" i="9"/>
  <c r="N31" i="9"/>
  <c r="K7" i="13"/>
  <c r="S7" i="13" s="1"/>
  <c r="N32" i="9"/>
  <c r="N36" i="9"/>
  <c r="N33" i="5"/>
  <c r="N32" i="5"/>
  <c r="N35" i="5"/>
  <c r="N34" i="5"/>
  <c r="N31" i="5"/>
  <c r="N36" i="5"/>
  <c r="N30" i="5"/>
  <c r="B31" i="9"/>
  <c r="B31" i="5"/>
  <c r="K37" i="13"/>
  <c r="S37" i="13" s="1"/>
  <c r="K11" i="13"/>
  <c r="S11" i="13" s="1"/>
  <c r="J24" i="12"/>
  <c r="O24" i="12" s="1"/>
  <c r="K24" i="13"/>
  <c r="S24" i="13" s="1"/>
  <c r="K41" i="13"/>
  <c r="S41" i="13" s="1"/>
  <c r="J28" i="12"/>
  <c r="O28" i="12" s="1"/>
  <c r="K16" i="13"/>
  <c r="S16" i="13" s="1"/>
  <c r="K15" i="13"/>
  <c r="S15" i="13" s="1"/>
  <c r="K28" i="13"/>
  <c r="S28" i="13" s="1"/>
  <c r="M33" i="13"/>
  <c r="U33" i="13" s="1"/>
  <c r="K7" i="12"/>
  <c r="P7" i="12" s="1"/>
  <c r="M7" i="13"/>
  <c r="U7" i="13" s="1"/>
  <c r="M20" i="13"/>
  <c r="U20" i="13" s="1"/>
  <c r="M37" i="13"/>
  <c r="U37" i="13" s="1"/>
  <c r="M11" i="13"/>
  <c r="U11" i="13" s="1"/>
  <c r="M24" i="13"/>
  <c r="U24" i="13" s="1"/>
  <c r="K11" i="12"/>
  <c r="P11" i="12" s="1"/>
  <c r="M41" i="13"/>
  <c r="U41" i="13" s="1"/>
  <c r="M15" i="13"/>
  <c r="U15" i="13" s="1"/>
  <c r="M16" i="13"/>
  <c r="U16" i="13" s="1"/>
  <c r="K15" i="12"/>
  <c r="P15" i="12" s="1"/>
  <c r="M28" i="13"/>
  <c r="U28" i="13" s="1"/>
  <c r="O36" i="13"/>
  <c r="W36" i="13" s="1"/>
  <c r="L10" i="12"/>
  <c r="Q10" i="12" s="1"/>
  <c r="O23" i="13"/>
  <c r="W23" i="13" s="1"/>
  <c r="O10" i="13"/>
  <c r="W10" i="13" s="1"/>
  <c r="O40" i="13"/>
  <c r="W40" i="13" s="1"/>
  <c r="O27" i="13"/>
  <c r="W27" i="13" s="1"/>
  <c r="O14" i="13"/>
  <c r="W14" i="13" s="1"/>
  <c r="L14" i="12"/>
  <c r="Q14" i="12" s="1"/>
  <c r="Q37" i="13"/>
  <c r="Y37" i="13" s="1"/>
  <c r="Q24" i="13"/>
  <c r="Y24" i="13" s="1"/>
  <c r="N24" i="12"/>
  <c r="S24" i="12" s="1"/>
  <c r="N11" i="12"/>
  <c r="S11" i="12" s="1"/>
  <c r="Q11" i="13"/>
  <c r="Y11" i="13" s="1"/>
  <c r="U33" i="9"/>
  <c r="U35" i="9"/>
  <c r="U31" i="9"/>
  <c r="U30" i="9"/>
  <c r="U36" i="9"/>
  <c r="U34" i="9"/>
  <c r="U32" i="9"/>
  <c r="U34" i="5"/>
  <c r="U30" i="5"/>
  <c r="U36" i="5"/>
  <c r="U33" i="5"/>
  <c r="U31" i="5"/>
  <c r="U56" i="5" s="1"/>
  <c r="U35" i="5"/>
  <c r="U32" i="5"/>
  <c r="L36" i="9"/>
  <c r="L61" i="9" s="1"/>
  <c r="L32" i="9"/>
  <c r="L33" i="9"/>
  <c r="L34" i="9"/>
  <c r="L30" i="9"/>
  <c r="L35" i="9"/>
  <c r="L31" i="9"/>
  <c r="L35" i="5"/>
  <c r="L34" i="5"/>
  <c r="L30" i="5"/>
  <c r="L33" i="5"/>
  <c r="L32" i="5"/>
  <c r="L31" i="5"/>
  <c r="L36" i="5"/>
  <c r="L61" i="5" s="1"/>
  <c r="F85" i="5" s="1"/>
  <c r="F110" i="5" s="1"/>
  <c r="M34" i="13"/>
  <c r="U34" i="13" s="1"/>
  <c r="M8" i="13"/>
  <c r="U8" i="13" s="1"/>
  <c r="M21" i="13"/>
  <c r="U21" i="13" s="1"/>
  <c r="K8" i="12"/>
  <c r="P8" i="12" s="1"/>
  <c r="V33" i="9"/>
  <c r="V34" i="9"/>
  <c r="V30" i="9"/>
  <c r="V35" i="9"/>
  <c r="V31" i="9"/>
  <c r="V36" i="9"/>
  <c r="V32" i="9"/>
  <c r="V33" i="5"/>
  <c r="V32" i="5"/>
  <c r="V31" i="5"/>
  <c r="V35" i="5"/>
  <c r="V36" i="5"/>
  <c r="V34" i="5"/>
  <c r="V30" i="5"/>
  <c r="J38" i="13"/>
  <c r="R38" i="13" s="1"/>
  <c r="J25" i="13"/>
  <c r="R25" i="13" s="1"/>
  <c r="J12" i="12"/>
  <c r="O12" i="12" s="1"/>
  <c r="J12" i="13"/>
  <c r="R12" i="13" s="1"/>
  <c r="L39" i="13"/>
  <c r="T39" i="13" s="1"/>
  <c r="L13" i="13"/>
  <c r="T13" i="13" s="1"/>
  <c r="L26" i="13"/>
  <c r="T26" i="13" s="1"/>
  <c r="K26" i="12"/>
  <c r="P26" i="12" s="1"/>
  <c r="K36" i="13"/>
  <c r="S36" i="13" s="1"/>
  <c r="J23" i="12"/>
  <c r="O23" i="12" s="1"/>
  <c r="K10" i="13"/>
  <c r="S10" i="13" s="1"/>
  <c r="K23" i="13"/>
  <c r="S23" i="13" s="1"/>
  <c r="M36" i="13"/>
  <c r="U36" i="13" s="1"/>
  <c r="M10" i="13"/>
  <c r="U10" i="13" s="1"/>
  <c r="K10" i="12"/>
  <c r="P10" i="12" s="1"/>
  <c r="M23" i="13"/>
  <c r="U23" i="13" s="1"/>
  <c r="I93" i="3"/>
  <c r="I94" i="3" s="1"/>
  <c r="I95" i="3" s="1"/>
  <c r="I96" i="3" s="1"/>
  <c r="I97" i="3" s="1"/>
  <c r="I98" i="3" s="1"/>
  <c r="I99" i="3" s="1"/>
  <c r="I100" i="3" s="1"/>
  <c r="I101" i="3" s="1"/>
  <c r="Q39" i="13"/>
  <c r="Y39" i="13" s="1"/>
  <c r="Q26" i="13"/>
  <c r="Y26" i="13" s="1"/>
  <c r="N26" i="12"/>
  <c r="S26" i="12" s="1"/>
  <c r="N13" i="12"/>
  <c r="S13" i="12" s="1"/>
  <c r="Q13" i="13"/>
  <c r="Y13" i="13" s="1"/>
  <c r="H81" i="5"/>
  <c r="H85" i="5"/>
  <c r="H82" i="5"/>
  <c r="H84" i="5"/>
  <c r="H83" i="5"/>
  <c r="H81" i="9"/>
  <c r="H82" i="9"/>
  <c r="H83" i="9"/>
  <c r="H84" i="9"/>
  <c r="H85" i="9"/>
  <c r="J33" i="13"/>
  <c r="R33" i="13" s="1"/>
  <c r="J20" i="13"/>
  <c r="R20" i="13" s="1"/>
  <c r="J7" i="12"/>
  <c r="O7" i="12" s="1"/>
  <c r="J7" i="13"/>
  <c r="R7" i="13" s="1"/>
  <c r="J37" i="13"/>
  <c r="R37" i="13" s="1"/>
  <c r="J24" i="13"/>
  <c r="R24" i="13" s="1"/>
  <c r="J11" i="12"/>
  <c r="O11" i="12" s="1"/>
  <c r="J11" i="13"/>
  <c r="R11" i="13" s="1"/>
  <c r="J41" i="13"/>
  <c r="R41" i="13" s="1"/>
  <c r="J28" i="13"/>
  <c r="R28" i="13" s="1"/>
  <c r="J15" i="13"/>
  <c r="R15" i="13" s="1"/>
  <c r="J16" i="13"/>
  <c r="R16" i="13" s="1"/>
  <c r="J15" i="12"/>
  <c r="O15" i="12" s="1"/>
  <c r="L34" i="13"/>
  <c r="T34" i="13" s="1"/>
  <c r="L8" i="13"/>
  <c r="T8" i="13" s="1"/>
  <c r="K21" i="12"/>
  <c r="P21" i="12" s="1"/>
  <c r="L21" i="13"/>
  <c r="T21" i="13" s="1"/>
  <c r="L38" i="13"/>
  <c r="T38" i="13" s="1"/>
  <c r="K25" i="12"/>
  <c r="P25" i="12" s="1"/>
  <c r="L12" i="13"/>
  <c r="T12" i="13" s="1"/>
  <c r="L25" i="13"/>
  <c r="T25" i="13" s="1"/>
  <c r="N33" i="13"/>
  <c r="V33" i="13" s="1"/>
  <c r="P34" i="9"/>
  <c r="P30" i="9"/>
  <c r="N7" i="13"/>
  <c r="V7" i="13" s="1"/>
  <c r="P35" i="9"/>
  <c r="P31" i="9"/>
  <c r="P36" i="9"/>
  <c r="P32" i="9"/>
  <c r="N20" i="13"/>
  <c r="V20" i="13" s="1"/>
  <c r="L20" i="12"/>
  <c r="Q20" i="12" s="1"/>
  <c r="P33" i="9"/>
  <c r="P31" i="5"/>
  <c r="P33" i="5"/>
  <c r="P36" i="5"/>
  <c r="P32" i="5"/>
  <c r="P35" i="5"/>
  <c r="P34" i="5"/>
  <c r="P30" i="5"/>
  <c r="D31" i="9"/>
  <c r="D31" i="5"/>
  <c r="N37" i="13"/>
  <c r="V37" i="13" s="1"/>
  <c r="N11" i="13"/>
  <c r="V11" i="13" s="1"/>
  <c r="L24" i="12"/>
  <c r="Q24" i="12" s="1"/>
  <c r="N24" i="13"/>
  <c r="V24" i="13" s="1"/>
  <c r="N41" i="13"/>
  <c r="V41" i="13" s="1"/>
  <c r="N16" i="13"/>
  <c r="V16" i="13" s="1"/>
  <c r="N15" i="13"/>
  <c r="V15" i="13" s="1"/>
  <c r="N28" i="13"/>
  <c r="V28" i="13" s="1"/>
  <c r="L28" i="12"/>
  <c r="Q28" i="12" s="1"/>
  <c r="Q36" i="13"/>
  <c r="Y36" i="13" s="1"/>
  <c r="Q23" i="13"/>
  <c r="Y23" i="13" s="1"/>
  <c r="N23" i="12"/>
  <c r="S23" i="12" s="1"/>
  <c r="N10" i="12"/>
  <c r="S10" i="12" s="1"/>
  <c r="Q10" i="13"/>
  <c r="Y10" i="13" s="1"/>
  <c r="S12" i="12"/>
  <c r="R12" i="12"/>
  <c r="P12" i="12"/>
  <c r="Q12" i="12"/>
  <c r="E31" i="9"/>
  <c r="E31" i="5"/>
  <c r="F31" i="9"/>
  <c r="F31" i="5"/>
  <c r="G31" i="9"/>
  <c r="G31" i="5"/>
  <c r="O15" i="10"/>
  <c r="M15" i="10"/>
  <c r="F16" i="10"/>
  <c r="E41" i="10" s="1"/>
  <c r="N16" i="10"/>
  <c r="N18" i="9"/>
  <c r="B19" i="9"/>
  <c r="F18" i="9"/>
  <c r="O17" i="9"/>
  <c r="M17" i="9"/>
  <c r="E43" i="3"/>
  <c r="E44" i="3" s="1"/>
  <c r="E45" i="3" s="1"/>
  <c r="E73" i="3"/>
  <c r="E74" i="3"/>
  <c r="E75" i="3" s="1"/>
  <c r="E76" i="3" s="1"/>
  <c r="E77" i="3" s="1"/>
  <c r="E78" i="3" s="1"/>
  <c r="E79" i="3" s="1"/>
  <c r="E80" i="3" s="1"/>
  <c r="E81" i="3" s="1"/>
  <c r="E103" i="3"/>
  <c r="E104" i="3" s="1"/>
  <c r="E105" i="3" s="1"/>
  <c r="E106" i="3" s="1"/>
  <c r="E107" i="3" s="1"/>
  <c r="G43" i="3"/>
  <c r="G44" i="3" s="1"/>
  <c r="G45" i="3" s="1"/>
  <c r="G73" i="3"/>
  <c r="G74" i="3"/>
  <c r="G75" i="3" s="1"/>
  <c r="G76" i="3" s="1"/>
  <c r="G77" i="3" s="1"/>
  <c r="G78" i="3" s="1"/>
  <c r="G79" i="3" s="1"/>
  <c r="G80" i="3" s="1"/>
  <c r="G81" i="3" s="1"/>
  <c r="G103" i="3"/>
  <c r="G104" i="3" s="1"/>
  <c r="G105" i="3" s="1"/>
  <c r="G106" i="3" s="1"/>
  <c r="G107" i="3" s="1"/>
  <c r="C43" i="3"/>
  <c r="C44" i="3" s="1"/>
  <c r="C45" i="3" s="1"/>
  <c r="C73" i="3"/>
  <c r="C74" i="3" s="1"/>
  <c r="C75" i="3" s="1"/>
  <c r="C76" i="3" s="1"/>
  <c r="C77" i="3" s="1"/>
  <c r="C78" i="3" s="1"/>
  <c r="C79" i="3" s="1"/>
  <c r="C80" i="3" s="1"/>
  <c r="C81" i="3" s="1"/>
  <c r="C103" i="3"/>
  <c r="C104" i="3"/>
  <c r="C105" i="3" s="1"/>
  <c r="C106" i="3" s="1"/>
  <c r="C107" i="3" s="1"/>
  <c r="D53" i="3"/>
  <c r="D54" i="3" s="1"/>
  <c r="D55" i="3" s="1"/>
  <c r="D56" i="3" s="1"/>
  <c r="D57" i="3" s="1"/>
  <c r="D58" i="3" s="1"/>
  <c r="D59" i="3" s="1"/>
  <c r="D60" i="3" s="1"/>
  <c r="D61" i="3" s="1"/>
  <c r="D83" i="3"/>
  <c r="D84" i="3" s="1"/>
  <c r="D85" i="3" s="1"/>
  <c r="D86" i="3" s="1"/>
  <c r="D87" i="3" s="1"/>
  <c r="D88" i="3" s="1"/>
  <c r="D89" i="3" s="1"/>
  <c r="D90" i="3" s="1"/>
  <c r="D91" i="3" s="1"/>
  <c r="D113" i="3"/>
  <c r="D114" i="3" s="1"/>
  <c r="D115" i="3" s="1"/>
  <c r="D116" i="3" s="1"/>
  <c r="F53" i="3"/>
  <c r="F54" i="3" s="1"/>
  <c r="F55" i="3" s="1"/>
  <c r="F56" i="3" s="1"/>
  <c r="F57" i="3" s="1"/>
  <c r="F58" i="3" s="1"/>
  <c r="F59" i="3" s="1"/>
  <c r="F60" i="3" s="1"/>
  <c r="F61" i="3" s="1"/>
  <c r="F83" i="3"/>
  <c r="F84" i="3" s="1"/>
  <c r="F85" i="3" s="1"/>
  <c r="F86" i="3" s="1"/>
  <c r="F87" i="3" s="1"/>
  <c r="F88" i="3" s="1"/>
  <c r="F89" i="3" s="1"/>
  <c r="F90" i="3" s="1"/>
  <c r="F91" i="3" s="1"/>
  <c r="F113" i="3"/>
  <c r="F114" i="3" s="1"/>
  <c r="F115" i="3" s="1"/>
  <c r="F116" i="3" s="1"/>
  <c r="I83" i="3"/>
  <c r="I84" i="3"/>
  <c r="I85" i="3" s="1"/>
  <c r="I86" i="3" s="1"/>
  <c r="I87" i="3" s="1"/>
  <c r="I88" i="3" s="1"/>
  <c r="I89" i="3" s="1"/>
  <c r="I90" i="3" s="1"/>
  <c r="I91" i="3" s="1"/>
  <c r="B53" i="3"/>
  <c r="B54" i="3"/>
  <c r="B55" i="3" s="1"/>
  <c r="B56" i="3" s="1"/>
  <c r="B57" i="3" s="1"/>
  <c r="B58" i="3" s="1"/>
  <c r="B59" i="3" s="1"/>
  <c r="B60" i="3" s="1"/>
  <c r="B61" i="3" s="1"/>
  <c r="B83" i="3"/>
  <c r="B84" i="3" s="1"/>
  <c r="B85" i="3" s="1"/>
  <c r="B113" i="3"/>
  <c r="E53" i="3"/>
  <c r="E54" i="3" s="1"/>
  <c r="E55" i="3" s="1"/>
  <c r="E56" i="3" s="1"/>
  <c r="E57" i="3" s="1"/>
  <c r="E58" i="3" s="1"/>
  <c r="E59" i="3" s="1"/>
  <c r="E60" i="3" s="1"/>
  <c r="E61" i="3" s="1"/>
  <c r="E83" i="3"/>
  <c r="E84" i="3"/>
  <c r="E85" i="3" s="1"/>
  <c r="E86" i="3" s="1"/>
  <c r="E87" i="3" s="1"/>
  <c r="E88" i="3" s="1"/>
  <c r="E89" i="3" s="1"/>
  <c r="E90" i="3" s="1"/>
  <c r="E91" i="3" s="1"/>
  <c r="E113" i="3"/>
  <c r="E114" i="3" s="1"/>
  <c r="E115" i="3" s="1"/>
  <c r="E116" i="3" s="1"/>
  <c r="G53" i="3"/>
  <c r="G54" i="3"/>
  <c r="G55" i="3" s="1"/>
  <c r="G56" i="3" s="1"/>
  <c r="G57" i="3" s="1"/>
  <c r="G58" i="3" s="1"/>
  <c r="G59" i="3" s="1"/>
  <c r="G60" i="3" s="1"/>
  <c r="G61" i="3" s="1"/>
  <c r="G83" i="3"/>
  <c r="G84" i="3"/>
  <c r="G85" i="3" s="1"/>
  <c r="G86" i="3" s="1"/>
  <c r="G87" i="3" s="1"/>
  <c r="G88" i="3" s="1"/>
  <c r="G89" i="3" s="1"/>
  <c r="G90" i="3" s="1"/>
  <c r="G91" i="3" s="1"/>
  <c r="G113" i="3"/>
  <c r="G114" i="3"/>
  <c r="G115" i="3" s="1"/>
  <c r="G116" i="3" s="1"/>
  <c r="I73" i="3"/>
  <c r="I74" i="3" s="1"/>
  <c r="I75" i="3" s="1"/>
  <c r="I76" i="3" s="1"/>
  <c r="I77" i="3" s="1"/>
  <c r="I78" i="3" s="1"/>
  <c r="I79" i="3" s="1"/>
  <c r="I80" i="3" s="1"/>
  <c r="I81" i="3" s="1"/>
  <c r="B73" i="3"/>
  <c r="B74" i="3" s="1"/>
  <c r="B75" i="3" s="1"/>
  <c r="B76" i="3" s="1"/>
  <c r="B77" i="3" s="1"/>
  <c r="B78" i="3" s="1"/>
  <c r="B79" i="3" s="1"/>
  <c r="C53" i="3"/>
  <c r="C54" i="3"/>
  <c r="C55" i="3" s="1"/>
  <c r="C56" i="3" s="1"/>
  <c r="C57" i="3" s="1"/>
  <c r="C58" i="3" s="1"/>
  <c r="C59" i="3" s="1"/>
  <c r="C60" i="3" s="1"/>
  <c r="C61" i="3" s="1"/>
  <c r="C113" i="3"/>
  <c r="C114" i="3" s="1"/>
  <c r="C115" i="3" s="1"/>
  <c r="C116" i="3" s="1"/>
  <c r="D93" i="3"/>
  <c r="D94" i="3"/>
  <c r="D95" i="3" s="1"/>
  <c r="D96" i="3" s="1"/>
  <c r="D97" i="3" s="1"/>
  <c r="D98" i="3" s="1"/>
  <c r="D99" i="3" s="1"/>
  <c r="D100" i="3" s="1"/>
  <c r="D101" i="3" s="1"/>
  <c r="F63" i="3"/>
  <c r="F64" i="3" s="1"/>
  <c r="F65" i="3" s="1"/>
  <c r="F66" i="3" s="1"/>
  <c r="F67" i="3" s="1"/>
  <c r="B63" i="3"/>
  <c r="B64" i="3" s="1"/>
  <c r="B65" i="3" s="1"/>
  <c r="B66" i="3" s="1"/>
  <c r="B67" i="3" s="1"/>
  <c r="B68" i="3" s="1"/>
  <c r="B69" i="3" s="1"/>
  <c r="B70" i="3" s="1"/>
  <c r="B71" i="3" s="1"/>
  <c r="B93" i="3"/>
  <c r="B94" i="3" s="1"/>
  <c r="B95" i="3" s="1"/>
  <c r="B96" i="3" s="1"/>
  <c r="E63" i="3"/>
  <c r="E64" i="3"/>
  <c r="E65" i="3" s="1"/>
  <c r="E66" i="3" s="1"/>
  <c r="E67" i="3" s="1"/>
  <c r="E93" i="3"/>
  <c r="E94" i="3" s="1"/>
  <c r="E95" i="3" s="1"/>
  <c r="E96" i="3" s="1"/>
  <c r="E97" i="3" s="1"/>
  <c r="E98" i="3" s="1"/>
  <c r="E99" i="3" s="1"/>
  <c r="E100" i="3" s="1"/>
  <c r="E101" i="3" s="1"/>
  <c r="G63" i="3"/>
  <c r="G64" i="3"/>
  <c r="G65" i="3" s="1"/>
  <c r="G66" i="3" s="1"/>
  <c r="G67" i="3" s="1"/>
  <c r="G93" i="3"/>
  <c r="G94" i="3" s="1"/>
  <c r="G95" i="3" s="1"/>
  <c r="G96" i="3" s="1"/>
  <c r="G97" i="3" s="1"/>
  <c r="G98" i="3" s="1"/>
  <c r="G99" i="3" s="1"/>
  <c r="G100" i="3" s="1"/>
  <c r="G101" i="3" s="1"/>
  <c r="I113" i="3"/>
  <c r="I114" i="3" s="1"/>
  <c r="I115" i="3" s="1"/>
  <c r="I116" i="3" s="1"/>
  <c r="B103" i="3"/>
  <c r="B104" i="3" s="1"/>
  <c r="B105" i="3" s="1"/>
  <c r="B106" i="3" s="1"/>
  <c r="B107" i="3" s="1"/>
  <c r="C83" i="3"/>
  <c r="C84" i="3" s="1"/>
  <c r="C85" i="3" s="1"/>
  <c r="C86" i="3" s="1"/>
  <c r="C87" i="3" s="1"/>
  <c r="C88" i="3" s="1"/>
  <c r="C89" i="3" s="1"/>
  <c r="C90" i="3" s="1"/>
  <c r="C91" i="3" s="1"/>
  <c r="D63" i="3"/>
  <c r="D64" i="3" s="1"/>
  <c r="D65" i="3" s="1"/>
  <c r="D66" i="3" s="1"/>
  <c r="D67" i="3" s="1"/>
  <c r="F93" i="3"/>
  <c r="F94" i="3" s="1"/>
  <c r="F95" i="3" s="1"/>
  <c r="F96" i="3" s="1"/>
  <c r="F97" i="3" s="1"/>
  <c r="F98" i="3" s="1"/>
  <c r="F99" i="3" s="1"/>
  <c r="F100" i="3" s="1"/>
  <c r="F101" i="3" s="1"/>
  <c r="I63" i="3"/>
  <c r="I64" i="3"/>
  <c r="I65" i="3" s="1"/>
  <c r="I66" i="3" s="1"/>
  <c r="I67" i="3" s="1"/>
  <c r="I68" i="3" s="1"/>
  <c r="I69" i="3" s="1"/>
  <c r="I70" i="3" s="1"/>
  <c r="I71" i="3" s="1"/>
  <c r="C63" i="3"/>
  <c r="C64" i="3" s="1"/>
  <c r="C65" i="3" s="1"/>
  <c r="C66" i="3" s="1"/>
  <c r="C67" i="3" s="1"/>
  <c r="C93" i="3"/>
  <c r="C94" i="3" s="1"/>
  <c r="C95" i="3" s="1"/>
  <c r="C96" i="3" s="1"/>
  <c r="C97" i="3" s="1"/>
  <c r="C98" i="3" s="1"/>
  <c r="C99" i="3" s="1"/>
  <c r="C100" i="3" s="1"/>
  <c r="C101" i="3" s="1"/>
  <c r="D43" i="3"/>
  <c r="D44" i="3" s="1"/>
  <c r="D45" i="3" s="1"/>
  <c r="D73" i="3"/>
  <c r="D74" i="3" s="1"/>
  <c r="D75" i="3" s="1"/>
  <c r="D76" i="3" s="1"/>
  <c r="D77" i="3" s="1"/>
  <c r="D78" i="3" s="1"/>
  <c r="D79" i="3" s="1"/>
  <c r="D80" i="3" s="1"/>
  <c r="D81" i="3" s="1"/>
  <c r="D103" i="3"/>
  <c r="D104" i="3" s="1"/>
  <c r="D105" i="3" s="1"/>
  <c r="D106" i="3" s="1"/>
  <c r="D107" i="3" s="1"/>
  <c r="F43" i="3"/>
  <c r="F44" i="3" s="1"/>
  <c r="F45" i="3" s="1"/>
  <c r="F73" i="3"/>
  <c r="F74" i="3" s="1"/>
  <c r="F75" i="3" s="1"/>
  <c r="F76" i="3" s="1"/>
  <c r="F77" i="3" s="1"/>
  <c r="F78" i="3" s="1"/>
  <c r="F79" i="3" s="1"/>
  <c r="F80" i="3" s="1"/>
  <c r="F81" i="3" s="1"/>
  <c r="F103" i="3"/>
  <c r="F104" i="3" s="1"/>
  <c r="F105" i="3" s="1"/>
  <c r="F106" i="3" s="1"/>
  <c r="F107" i="3" s="1"/>
  <c r="I103" i="3"/>
  <c r="I104" i="3" s="1"/>
  <c r="I105" i="3" s="1"/>
  <c r="I106" i="3" s="1"/>
  <c r="I107" i="3" s="1"/>
  <c r="I108" i="3" s="1"/>
  <c r="I109" i="3" s="1"/>
  <c r="I110" i="3" s="1"/>
  <c r="I111" i="3" s="1"/>
  <c r="I43" i="3"/>
  <c r="I44" i="3" s="1"/>
  <c r="I45" i="3" s="1"/>
  <c r="U50" i="5" l="1"/>
  <c r="AB50" i="5"/>
  <c r="R50" i="5"/>
  <c r="AD33" i="5"/>
  <c r="AD33" i="9"/>
  <c r="Z50" i="9"/>
  <c r="Z55" i="9"/>
  <c r="AD56" i="5"/>
  <c r="F80" i="5" s="1"/>
  <c r="M50" i="5"/>
  <c r="I46" i="3"/>
  <c r="I47" i="3" s="1"/>
  <c r="N19" i="12"/>
  <c r="S19" i="12" s="1"/>
  <c r="Q6" i="13"/>
  <c r="Y6" i="13" s="1"/>
  <c r="N6" i="12"/>
  <c r="S6" i="12" s="1"/>
  <c r="G46" i="3"/>
  <c r="G47" i="3" s="1"/>
  <c r="O6" i="13"/>
  <c r="W6" i="13" s="1"/>
  <c r="L6" i="12"/>
  <c r="Q6" i="12" s="1"/>
  <c r="H107" i="5"/>
  <c r="J82" i="5"/>
  <c r="L75" i="9"/>
  <c r="F85" i="9"/>
  <c r="F110" i="9" s="1"/>
  <c r="O50" i="9"/>
  <c r="Z50" i="5"/>
  <c r="Z55" i="5"/>
  <c r="AA75" i="9"/>
  <c r="F80" i="9"/>
  <c r="I50" i="5"/>
  <c r="T50" i="5"/>
  <c r="AD50" i="9"/>
  <c r="F46" i="3"/>
  <c r="F47" i="3" s="1"/>
  <c r="L19" i="12"/>
  <c r="Q19" i="12" s="1"/>
  <c r="N6" i="13"/>
  <c r="V6" i="13" s="1"/>
  <c r="C46" i="3"/>
  <c r="C47" i="3" s="1"/>
  <c r="J6" i="13"/>
  <c r="R6" i="13" s="1"/>
  <c r="J6" i="12"/>
  <c r="O6" i="12" s="1"/>
  <c r="P50" i="9"/>
  <c r="H110" i="9"/>
  <c r="J85" i="9"/>
  <c r="H110" i="5"/>
  <c r="J85" i="5"/>
  <c r="V50" i="5"/>
  <c r="N50" i="9"/>
  <c r="S50" i="5"/>
  <c r="S50" i="9"/>
  <c r="D46" i="3"/>
  <c r="D47" i="3" s="1"/>
  <c r="L6" i="13"/>
  <c r="T6" i="13" s="1"/>
  <c r="K19" i="12"/>
  <c r="P19" i="12" s="1"/>
  <c r="P50" i="5"/>
  <c r="H109" i="9"/>
  <c r="J84" i="9"/>
  <c r="H106" i="5"/>
  <c r="J81" i="5"/>
  <c r="J50" i="5"/>
  <c r="K50" i="9"/>
  <c r="H50" i="9"/>
  <c r="J83" i="5"/>
  <c r="H108" i="5"/>
  <c r="H108" i="9"/>
  <c r="J83" i="9"/>
  <c r="U50" i="9"/>
  <c r="B50" i="9"/>
  <c r="AB50" i="9"/>
  <c r="J80" i="5"/>
  <c r="H105" i="5"/>
  <c r="D32" i="5"/>
  <c r="D36" i="5"/>
  <c r="K50" i="5"/>
  <c r="AA50" i="5"/>
  <c r="AA50" i="9"/>
  <c r="M50" i="9"/>
  <c r="H104" i="9"/>
  <c r="J79" i="9"/>
  <c r="H99" i="9"/>
  <c r="H124" i="9" s="1"/>
  <c r="H109" i="5"/>
  <c r="J84" i="5"/>
  <c r="J109" i="5" s="1"/>
  <c r="L50" i="5"/>
  <c r="Q50" i="5"/>
  <c r="B33" i="5"/>
  <c r="B33" i="9"/>
  <c r="J82" i="9"/>
  <c r="H107" i="9"/>
  <c r="V50" i="9"/>
  <c r="L50" i="9"/>
  <c r="N50" i="5"/>
  <c r="B36" i="5"/>
  <c r="B32" i="5"/>
  <c r="H104" i="5"/>
  <c r="J79" i="5"/>
  <c r="H99" i="5"/>
  <c r="H124" i="5" s="1"/>
  <c r="J50" i="9"/>
  <c r="Y50" i="5"/>
  <c r="H50" i="5"/>
  <c r="Q50" i="9"/>
  <c r="H75" i="9"/>
  <c r="E81" i="9"/>
  <c r="E106" i="9" s="1"/>
  <c r="Y50" i="9"/>
  <c r="E46" i="3"/>
  <c r="E47" i="3" s="1"/>
  <c r="M6" i="13"/>
  <c r="U6" i="13" s="1"/>
  <c r="K6" i="12"/>
  <c r="P6" i="12" s="1"/>
  <c r="J81" i="9"/>
  <c r="H106" i="9"/>
  <c r="W50" i="5"/>
  <c r="W50" i="9"/>
  <c r="H105" i="9"/>
  <c r="J80" i="9"/>
  <c r="O50" i="5"/>
  <c r="C36" i="5"/>
  <c r="C32" i="5"/>
  <c r="X50" i="5"/>
  <c r="T50" i="9"/>
  <c r="C50" i="11"/>
  <c r="N11" i="11"/>
  <c r="D36" i="11" s="1"/>
  <c r="N17" i="10"/>
  <c r="F17" i="10"/>
  <c r="E42" i="10" s="1"/>
  <c r="O16" i="10"/>
  <c r="M16" i="10"/>
  <c r="N19" i="9"/>
  <c r="B20" i="9"/>
  <c r="F19" i="9"/>
  <c r="M18" i="9"/>
  <c r="O18" i="9"/>
  <c r="E108" i="3"/>
  <c r="E109" i="3" s="1"/>
  <c r="E110" i="3" s="1"/>
  <c r="E111" i="3" s="1"/>
  <c r="F35" i="5"/>
  <c r="E68" i="3"/>
  <c r="E69" i="3" s="1"/>
  <c r="E70" i="3" s="1"/>
  <c r="E71" i="3" s="1"/>
  <c r="F30" i="5"/>
  <c r="F108" i="3"/>
  <c r="F109" i="3" s="1"/>
  <c r="F110" i="3" s="1"/>
  <c r="F111" i="3" s="1"/>
  <c r="D35" i="5"/>
  <c r="C108" i="3"/>
  <c r="C109" i="3" s="1"/>
  <c r="C110" i="3" s="1"/>
  <c r="C111" i="3" s="1"/>
  <c r="E35" i="5"/>
  <c r="E60" i="5" s="1"/>
  <c r="C68" i="3"/>
  <c r="C69" i="3" s="1"/>
  <c r="C70" i="3" s="1"/>
  <c r="C71" i="3" s="1"/>
  <c r="E30" i="5"/>
  <c r="F68" i="3"/>
  <c r="F69" i="3" s="1"/>
  <c r="F70" i="3" s="1"/>
  <c r="F71" i="3" s="1"/>
  <c r="D30" i="5"/>
  <c r="G68" i="3"/>
  <c r="G69" i="3" s="1"/>
  <c r="G70" i="3" s="1"/>
  <c r="G71" i="3" s="1"/>
  <c r="G30" i="5"/>
  <c r="G108" i="3"/>
  <c r="G109" i="3" s="1"/>
  <c r="G110" i="3" s="1"/>
  <c r="G111" i="3" s="1"/>
  <c r="G35" i="5"/>
  <c r="D68" i="3"/>
  <c r="D69" i="3" s="1"/>
  <c r="D70" i="3" s="1"/>
  <c r="D71" i="3" s="1"/>
  <c r="C30" i="5"/>
  <c r="D108" i="3"/>
  <c r="D109" i="3" s="1"/>
  <c r="D110" i="3" s="1"/>
  <c r="D111" i="3" s="1"/>
  <c r="C35" i="5"/>
  <c r="B97" i="3"/>
  <c r="B98" i="3" s="1"/>
  <c r="B99" i="3" s="1"/>
  <c r="B100" i="3" s="1"/>
  <c r="B101" i="3" s="1"/>
  <c r="B80" i="3"/>
  <c r="B86" i="3"/>
  <c r="B87" i="3" s="1"/>
  <c r="B88" i="3" s="1"/>
  <c r="B89" i="3" s="1"/>
  <c r="B90" i="3" s="1"/>
  <c r="B91" i="3" s="1"/>
  <c r="B108" i="3"/>
  <c r="B109" i="3" s="1"/>
  <c r="B110" i="3" s="1"/>
  <c r="B111" i="3" s="1"/>
  <c r="B114" i="3"/>
  <c r="AD50" i="5" l="1"/>
  <c r="AD58" i="5"/>
  <c r="F82" i="5" s="1"/>
  <c r="F107" i="5" s="1"/>
  <c r="B50" i="5"/>
  <c r="I48" i="3"/>
  <c r="I49" i="3" s="1"/>
  <c r="Q32" i="13"/>
  <c r="Y32" i="13" s="1"/>
  <c r="Q19" i="13"/>
  <c r="Y19" i="13" s="1"/>
  <c r="C33" i="5"/>
  <c r="C50" i="5" s="1"/>
  <c r="C33" i="9"/>
  <c r="C50" i="9" s="1"/>
  <c r="E33" i="5"/>
  <c r="E50" i="5" s="1"/>
  <c r="E33" i="9"/>
  <c r="E50" i="9" s="1"/>
  <c r="F105" i="5"/>
  <c r="K85" i="9"/>
  <c r="K110" i="9" s="1"/>
  <c r="J110" i="9"/>
  <c r="D33" i="5"/>
  <c r="D50" i="5" s="1"/>
  <c r="D33" i="9"/>
  <c r="D50" i="9" s="1"/>
  <c r="J108" i="9"/>
  <c r="K83" i="9"/>
  <c r="K108" i="9" s="1"/>
  <c r="J106" i="5"/>
  <c r="K81" i="5"/>
  <c r="K106" i="5" s="1"/>
  <c r="D48" i="3"/>
  <c r="D49" i="3" s="1"/>
  <c r="L32" i="13"/>
  <c r="T32" i="13" s="1"/>
  <c r="L19" i="13"/>
  <c r="T19" i="13" s="1"/>
  <c r="F48" i="3"/>
  <c r="F49" i="3" s="1"/>
  <c r="N32" i="13"/>
  <c r="V32" i="13" s="1"/>
  <c r="N19" i="13"/>
  <c r="V19" i="13" s="1"/>
  <c r="J32" i="13"/>
  <c r="R32" i="13" s="1"/>
  <c r="J19" i="13"/>
  <c r="R19" i="13" s="1"/>
  <c r="K81" i="9"/>
  <c r="K106" i="9" s="1"/>
  <c r="J106" i="9"/>
  <c r="E48" i="3"/>
  <c r="E49" i="3" s="1"/>
  <c r="M32" i="13"/>
  <c r="U32" i="13" s="1"/>
  <c r="M19" i="13"/>
  <c r="U19" i="13" s="1"/>
  <c r="G48" i="3"/>
  <c r="G49" i="3" s="1"/>
  <c r="O32" i="13"/>
  <c r="W32" i="13" s="1"/>
  <c r="O19" i="13"/>
  <c r="W19" i="13" s="1"/>
  <c r="J99" i="5"/>
  <c r="J124" i="5" s="1"/>
  <c r="J104" i="5"/>
  <c r="K82" i="9"/>
  <c r="K107" i="9" s="1"/>
  <c r="J107" i="9"/>
  <c r="K84" i="9"/>
  <c r="K109" i="9" s="1"/>
  <c r="J109" i="9"/>
  <c r="J110" i="5"/>
  <c r="K85" i="5"/>
  <c r="K110" i="5" s="1"/>
  <c r="Z75" i="9"/>
  <c r="E79" i="9"/>
  <c r="G33" i="5"/>
  <c r="G50" i="5" s="1"/>
  <c r="G33" i="9"/>
  <c r="G50" i="9" s="1"/>
  <c r="J104" i="9"/>
  <c r="J99" i="9"/>
  <c r="J124" i="9" s="1"/>
  <c r="J108" i="5"/>
  <c r="K83" i="5"/>
  <c r="K108" i="5" s="1"/>
  <c r="F33" i="5"/>
  <c r="F50" i="5" s="1"/>
  <c r="F33" i="9"/>
  <c r="F50" i="9" s="1"/>
  <c r="J105" i="9"/>
  <c r="K80" i="9"/>
  <c r="K105" i="9" s="1"/>
  <c r="C48" i="3"/>
  <c r="C49" i="3" s="1"/>
  <c r="J105" i="5"/>
  <c r="K80" i="5"/>
  <c r="K105" i="5" s="1"/>
  <c r="F105" i="9"/>
  <c r="F99" i="9"/>
  <c r="J107" i="5"/>
  <c r="K82" i="5"/>
  <c r="K107" i="5" s="1"/>
  <c r="G12" i="12"/>
  <c r="M17" i="10"/>
  <c r="O17" i="10"/>
  <c r="N18" i="10"/>
  <c r="F18" i="10"/>
  <c r="E43" i="10" s="1"/>
  <c r="N20" i="9"/>
  <c r="B21" i="9"/>
  <c r="F20" i="9"/>
  <c r="O19" i="9"/>
  <c r="M19" i="9"/>
  <c r="E84" i="5"/>
  <c r="E109" i="5" s="1"/>
  <c r="AD75" i="5"/>
  <c r="E55" i="5"/>
  <c r="E75" i="5" s="1"/>
  <c r="M75" i="5"/>
  <c r="G75" i="5"/>
  <c r="X75" i="5"/>
  <c r="AC75" i="5"/>
  <c r="W75" i="5"/>
  <c r="Q75" i="5"/>
  <c r="T75" i="5"/>
  <c r="P75" i="5"/>
  <c r="U75" i="5"/>
  <c r="B115" i="3"/>
  <c r="B116" i="3" s="1"/>
  <c r="B81" i="3"/>
  <c r="F99" i="5" l="1"/>
  <c r="F124" i="5" s="1"/>
  <c r="G50" i="3"/>
  <c r="G51" i="3" s="1"/>
  <c r="O42" i="13"/>
  <c r="W42" i="13" s="1"/>
  <c r="L16" i="12"/>
  <c r="Q16" i="12" s="1"/>
  <c r="O29" i="13"/>
  <c r="W29" i="13" s="1"/>
  <c r="C50" i="3"/>
  <c r="C51" i="3" s="1"/>
  <c r="J42" i="13"/>
  <c r="R42" i="13" s="1"/>
  <c r="J16" i="12"/>
  <c r="O16" i="12" s="1"/>
  <c r="J29" i="13"/>
  <c r="R29" i="13" s="1"/>
  <c r="F50" i="3"/>
  <c r="F51" i="3" s="1"/>
  <c r="N42" i="13"/>
  <c r="V42" i="13" s="1"/>
  <c r="L29" i="12"/>
  <c r="Q29" i="12" s="1"/>
  <c r="N29" i="13"/>
  <c r="V29" i="13" s="1"/>
  <c r="K79" i="9"/>
  <c r="E104" i="9"/>
  <c r="E99" i="9"/>
  <c r="E50" i="3"/>
  <c r="E51" i="3" s="1"/>
  <c r="M42" i="13"/>
  <c r="U42" i="13" s="1"/>
  <c r="M29" i="13"/>
  <c r="U29" i="13" s="1"/>
  <c r="K16" i="12"/>
  <c r="P16" i="12" s="1"/>
  <c r="D50" i="3"/>
  <c r="D51" i="3" s="1"/>
  <c r="L42" i="13"/>
  <c r="T42" i="13" s="1"/>
  <c r="K29" i="12"/>
  <c r="P29" i="12" s="1"/>
  <c r="L29" i="13"/>
  <c r="T29" i="13" s="1"/>
  <c r="F124" i="9"/>
  <c r="F100" i="9"/>
  <c r="I50" i="3"/>
  <c r="I51" i="3" s="1"/>
  <c r="Q42" i="13"/>
  <c r="Y42" i="13" s="1"/>
  <c r="Q29" i="13"/>
  <c r="Y29" i="13" s="1"/>
  <c r="N16" i="12"/>
  <c r="S16" i="12" s="1"/>
  <c r="N29" i="12"/>
  <c r="S29" i="12" s="1"/>
  <c r="F50" i="11"/>
  <c r="F51" i="11" s="1"/>
  <c r="B50" i="11"/>
  <c r="O18" i="10"/>
  <c r="M18" i="10"/>
  <c r="F19" i="10"/>
  <c r="E44" i="10" s="1"/>
  <c r="N19" i="10"/>
  <c r="N21" i="9"/>
  <c r="B22" i="9"/>
  <c r="F21" i="9"/>
  <c r="M20" i="9"/>
  <c r="O20" i="9"/>
  <c r="E79" i="5"/>
  <c r="E104" i="5" s="1"/>
  <c r="K84" i="5"/>
  <c r="K109" i="5" s="1"/>
  <c r="I75" i="5"/>
  <c r="AA75" i="5"/>
  <c r="B75" i="5"/>
  <c r="V75" i="5"/>
  <c r="F75" i="5"/>
  <c r="AB75" i="5"/>
  <c r="S75" i="5"/>
  <c r="O75" i="5"/>
  <c r="Z75" i="5"/>
  <c r="D75" i="5"/>
  <c r="C75" i="5"/>
  <c r="H75" i="5"/>
  <c r="L75" i="5"/>
  <c r="J75" i="5"/>
  <c r="N75" i="5"/>
  <c r="K75" i="5"/>
  <c r="R75" i="5"/>
  <c r="Y75" i="5"/>
  <c r="B44" i="3"/>
  <c r="B45" i="3" s="1"/>
  <c r="F100" i="5" l="1"/>
  <c r="B46" i="3"/>
  <c r="B47" i="3" s="1"/>
  <c r="K6" i="13"/>
  <c r="S6" i="13" s="1"/>
  <c r="J19" i="12"/>
  <c r="O19" i="12" s="1"/>
  <c r="E124" i="9"/>
  <c r="E100" i="9"/>
  <c r="K104" i="9"/>
  <c r="K99" i="9"/>
  <c r="K124" i="9" s="1"/>
  <c r="M19" i="10"/>
  <c r="O19" i="10"/>
  <c r="N20" i="10"/>
  <c r="F20" i="10"/>
  <c r="E45" i="10" s="1"/>
  <c r="E99" i="5"/>
  <c r="N22" i="9"/>
  <c r="B23" i="9"/>
  <c r="F22" i="9"/>
  <c r="M21" i="9"/>
  <c r="O21" i="9"/>
  <c r="K79" i="5"/>
  <c r="B48" i="3" l="1"/>
  <c r="B49" i="3" s="1"/>
  <c r="K32" i="13"/>
  <c r="S32" i="13" s="1"/>
  <c r="K19" i="13"/>
  <c r="S19" i="13" s="1"/>
  <c r="E124" i="5"/>
  <c r="E100" i="5"/>
  <c r="N12" i="11"/>
  <c r="M20" i="10"/>
  <c r="O20" i="10"/>
  <c r="F21" i="10"/>
  <c r="E46" i="10" s="1"/>
  <c r="N21" i="10"/>
  <c r="N23" i="9"/>
  <c r="B24" i="9"/>
  <c r="F23" i="9"/>
  <c r="M22" i="9"/>
  <c r="O22" i="9"/>
  <c r="K104" i="5"/>
  <c r="K99" i="5"/>
  <c r="K124" i="5" s="1"/>
  <c r="B50" i="3" l="1"/>
  <c r="B51" i="3" s="1"/>
  <c r="K42" i="13"/>
  <c r="S42" i="13" s="1"/>
  <c r="J29" i="12"/>
  <c r="O29" i="12" s="1"/>
  <c r="K29" i="13"/>
  <c r="S29" i="13" s="1"/>
  <c r="N13" i="11"/>
  <c r="O21" i="10"/>
  <c r="M21" i="10"/>
  <c r="F22" i="10"/>
  <c r="E47" i="10" s="1"/>
  <c r="N22" i="10"/>
  <c r="F24" i="9"/>
  <c r="N24" i="9"/>
  <c r="O23" i="9"/>
  <c r="M23" i="9"/>
  <c r="N14" i="11" l="1"/>
  <c r="O22" i="10"/>
  <c r="M22" i="10"/>
  <c r="N23" i="10"/>
  <c r="F23" i="10"/>
  <c r="E48" i="10" s="1"/>
  <c r="O24" i="9"/>
  <c r="M24" i="9"/>
  <c r="M25" i="9" s="1"/>
  <c r="N25" i="9"/>
  <c r="D99" i="9" s="1"/>
  <c r="N15" i="11" l="1"/>
  <c r="M23" i="10"/>
  <c r="O23" i="10"/>
  <c r="N24" i="10"/>
  <c r="F24" i="10"/>
  <c r="O25" i="9"/>
  <c r="D124" i="9"/>
  <c r="K50" i="10" l="1"/>
  <c r="E49" i="10"/>
  <c r="E50" i="10" s="1"/>
  <c r="E51" i="10" s="1"/>
  <c r="N16" i="11"/>
  <c r="J50" i="10"/>
  <c r="G50" i="10"/>
  <c r="G51" i="10" s="1"/>
  <c r="I50" i="10"/>
  <c r="H50" i="10"/>
  <c r="O24" i="10"/>
  <c r="M24" i="10"/>
  <c r="M25" i="10" s="1"/>
  <c r="N25" i="10"/>
  <c r="D50" i="10" s="1"/>
  <c r="N17" i="11" l="1"/>
  <c r="O25" i="10"/>
  <c r="N18" i="11" l="1"/>
  <c r="N19" i="11" l="1"/>
  <c r="N20" i="11" l="1"/>
  <c r="N21" i="11" l="1"/>
  <c r="N22" i="11" l="1"/>
  <c r="N23" i="11" l="1"/>
  <c r="N24" i="11" l="1"/>
  <c r="L25" i="11"/>
  <c r="M25" i="11"/>
  <c r="H50" i="11"/>
  <c r="K50" i="11"/>
  <c r="E50" i="11"/>
  <c r="E51" i="11" s="1"/>
  <c r="J50" i="11"/>
  <c r="I50" i="11"/>
  <c r="G50" i="11"/>
  <c r="G51" i="11" s="1"/>
  <c r="D50" i="11" l="1"/>
  <c r="N25" i="11"/>
</calcChain>
</file>

<file path=xl/sharedStrings.xml><?xml version="1.0" encoding="utf-8"?>
<sst xmlns="http://schemas.openxmlformats.org/spreadsheetml/2006/main" count="628" uniqueCount="187">
  <si>
    <t>SUM</t>
  </si>
  <si>
    <t>Parameter</t>
  </si>
  <si>
    <t xml:space="preserve"> INSERT DATA</t>
  </si>
  <si>
    <t xml:space="preserve"> CALCULATION'S RESULTS</t>
  </si>
  <si>
    <t>Speed</t>
  </si>
  <si>
    <t>Laden</t>
  </si>
  <si>
    <t>Ballast</t>
  </si>
  <si>
    <t xml:space="preserve"> INSERT DATA FROM TIME CHARTER PARTY</t>
  </si>
  <si>
    <t>Fuel Oil Equivalent Factor FOE</t>
  </si>
  <si>
    <t>Consumption Idle [FOE/day]</t>
  </si>
  <si>
    <t>Consumption Anchor  [FOE/day]</t>
  </si>
  <si>
    <t>Consumption Loading  [FOE/day]</t>
  </si>
  <si>
    <t>Consumption Discharging  [FOE/day]</t>
  </si>
  <si>
    <t>Boiler</t>
  </si>
  <si>
    <t>Reliquification Plant [FOE/day]</t>
  </si>
  <si>
    <t>Boiler [MGO/day]</t>
  </si>
  <si>
    <t>Consumption at 12kn [FOE/day]</t>
  </si>
  <si>
    <t>Consumption at 13kn [FOE/day]</t>
  </si>
  <si>
    <t>Consumption at 14kn [FOE/day]</t>
  </si>
  <si>
    <t>Consumption at 15kn [FOE/day]</t>
  </si>
  <si>
    <t>Consumption at 16kn [FOE/day]</t>
  </si>
  <si>
    <t>Consumption at 17kn [FOE/day]</t>
  </si>
  <si>
    <t>Consumption at 18kn [FOE/day]</t>
  </si>
  <si>
    <t>Consumption at 19kn [FOE/day]</t>
  </si>
  <si>
    <t>Consumption at 19.5kn [FOE/day]</t>
  </si>
  <si>
    <t>Caloriffic value of MGO [MJ/kg]</t>
  </si>
  <si>
    <t>Caloriffic value of HFO [MJ/kg]</t>
  </si>
  <si>
    <t>Pilot Valves</t>
  </si>
  <si>
    <t>Main Engine</t>
  </si>
  <si>
    <r>
      <t>Boil-off rate laden condition [%] [m</t>
    </r>
    <r>
      <rPr>
        <vertAlign val="superscript"/>
        <sz val="10"/>
        <color rgb="FF381C19"/>
        <rFont val="Arial"/>
        <family val="2"/>
        <charset val="161"/>
      </rPr>
      <t>3</t>
    </r>
    <r>
      <rPr>
        <sz val="10"/>
        <color rgb="FF381C19"/>
        <rFont val="Arial"/>
        <family val="2"/>
        <charset val="238"/>
      </rPr>
      <t>]</t>
    </r>
  </si>
  <si>
    <t>LNG Ladden</t>
  </si>
  <si>
    <t>LNG ballast</t>
  </si>
  <si>
    <t>MGO ladden</t>
  </si>
  <si>
    <t>MGO ballast</t>
  </si>
  <si>
    <t>HFO ladden</t>
  </si>
  <si>
    <t>HFO ballast</t>
  </si>
  <si>
    <t xml:space="preserve"> Consumption Idle [per day]</t>
  </si>
  <si>
    <t xml:space="preserve"> Consumption Anchor [per day]</t>
  </si>
  <si>
    <t>Consumption Loading  [per day]</t>
  </si>
  <si>
    <t>Consumption Discharging  [per day]</t>
  </si>
  <si>
    <t>Reliquification Plant [per day]</t>
  </si>
  <si>
    <t>CONSUMPTION INPUTS</t>
  </si>
  <si>
    <r>
      <t>Gross Capacity of tanks at 100% [m</t>
    </r>
    <r>
      <rPr>
        <vertAlign val="superscript"/>
        <sz val="10"/>
        <color rgb="FF381C19"/>
        <rFont val="Arial"/>
        <family val="2"/>
        <charset val="161"/>
      </rPr>
      <t>3</t>
    </r>
    <r>
      <rPr>
        <sz val="10"/>
        <color rgb="FF381C19"/>
        <rFont val="Arial"/>
        <family val="2"/>
        <charset val="238"/>
      </rPr>
      <t>]</t>
    </r>
  </si>
  <si>
    <t>CONSUMPTION  CALCULATIONS - BY DATES</t>
  </si>
  <si>
    <t>Leg No</t>
  </si>
  <si>
    <t xml:space="preserve">Start Time </t>
  </si>
  <si>
    <t>End Time</t>
  </si>
  <si>
    <t>Distance To Go [NM]</t>
  </si>
  <si>
    <t>Days to Go</t>
  </si>
  <si>
    <t>Speed required</t>
  </si>
  <si>
    <t>Hours To Go</t>
  </si>
  <si>
    <t>Zone [LT=UTC+TZ]</t>
  </si>
  <si>
    <t>Activity</t>
  </si>
  <si>
    <t>Weather Factor</t>
  </si>
  <si>
    <t>Weather Factor [%] [m3]</t>
  </si>
  <si>
    <t>Drifting</t>
  </si>
  <si>
    <t>Loading</t>
  </si>
  <si>
    <t>Discharging</t>
  </si>
  <si>
    <t>Activity  choose Tab</t>
  </si>
  <si>
    <t>Anchoring</t>
  </si>
  <si>
    <t>Manouvering</t>
  </si>
  <si>
    <t>Idle in port</t>
  </si>
  <si>
    <t>Column1</t>
  </si>
  <si>
    <t>Column2</t>
  </si>
  <si>
    <t>Consumption below 12kn [FOE/day]</t>
  </si>
  <si>
    <t>LNG If Loading</t>
  </si>
  <si>
    <t>MGO If Loading</t>
  </si>
  <si>
    <t>HFO If Loading</t>
  </si>
  <si>
    <t>LNG If Discharging</t>
  </si>
  <si>
    <t>MGO If Discharging</t>
  </si>
  <si>
    <t>HFO If Discharging</t>
  </si>
  <si>
    <t>LNG If Cooling</t>
  </si>
  <si>
    <t>MGO If Cooling</t>
  </si>
  <si>
    <t>HFO If Cooling</t>
  </si>
  <si>
    <t>Reliq Plant</t>
  </si>
  <si>
    <t>Yes</t>
  </si>
  <si>
    <t>No</t>
  </si>
  <si>
    <t>Fuel</t>
  </si>
  <si>
    <t>LNG</t>
  </si>
  <si>
    <t>MGO</t>
  </si>
  <si>
    <t>HFO</t>
  </si>
  <si>
    <t>Column3</t>
  </si>
  <si>
    <t>LNG if Manouvering</t>
  </si>
  <si>
    <t>MGO if Manouvering</t>
  </si>
  <si>
    <t>HFO if Manouvering</t>
  </si>
  <si>
    <t>LNG if Drifting</t>
  </si>
  <si>
    <t>MGO if Drifting</t>
  </si>
  <si>
    <t>HFO if Drifting</t>
  </si>
  <si>
    <t>LNG if Anchoring</t>
  </si>
  <si>
    <t>MGO if Anchoring</t>
  </si>
  <si>
    <t>HFO if Anchoring</t>
  </si>
  <si>
    <t>LNG if Idle</t>
  </si>
  <si>
    <t>MGO if Idle</t>
  </si>
  <si>
    <t>HFO if Idle</t>
  </si>
  <si>
    <t>Extra MGO (PV)</t>
  </si>
  <si>
    <t>Extra MGO (Boiler)</t>
  </si>
  <si>
    <t>Ballast LNG</t>
  </si>
  <si>
    <t>Ballast MGO</t>
  </si>
  <si>
    <t>Ballast HFO</t>
  </si>
  <si>
    <t>Laden LNG</t>
  </si>
  <si>
    <t>Laden MGO</t>
  </si>
  <si>
    <t>Loading LNG</t>
  </si>
  <si>
    <t>Loading MGO</t>
  </si>
  <si>
    <t>Loading HFO</t>
  </si>
  <si>
    <t>Discharging MGO</t>
  </si>
  <si>
    <t>Discharging HFO</t>
  </si>
  <si>
    <t>Laden HFO</t>
  </si>
  <si>
    <t>Dischargong LNG</t>
  </si>
  <si>
    <t>Manouvering LNG</t>
  </si>
  <si>
    <t>Manouvering MGO</t>
  </si>
  <si>
    <t>Drifting LNG</t>
  </si>
  <si>
    <t>Drifting MGO</t>
  </si>
  <si>
    <t>Drifting HFO</t>
  </si>
  <si>
    <t>Anchoring LNG</t>
  </si>
  <si>
    <t>Anchoring MGO</t>
  </si>
  <si>
    <t>Anchoring HFO</t>
  </si>
  <si>
    <t>Idle LNG</t>
  </si>
  <si>
    <t>Idle MGO</t>
  </si>
  <si>
    <t>Idle HFO</t>
  </si>
  <si>
    <t>VLOOKUP</t>
  </si>
  <si>
    <t>Manouvering HFO</t>
  </si>
  <si>
    <t>Cooling LNG</t>
  </si>
  <si>
    <t>Cooling MGO</t>
  </si>
  <si>
    <t>Cooling HFO</t>
  </si>
  <si>
    <t>VLOOKUP2</t>
  </si>
  <si>
    <t xml:space="preserve"> CALCULATION'S PART 1</t>
  </si>
  <si>
    <t xml:space="preserve"> CALCULATION'S PART 2</t>
  </si>
  <si>
    <t xml:space="preserve"> Extra MGO  Boiler</t>
  </si>
  <si>
    <t>Extra MGO Pilot Valves</t>
  </si>
  <si>
    <t>Extra MGO  Reliq</t>
  </si>
  <si>
    <t>Extra MGO for Pilot Valves if Reliq</t>
  </si>
  <si>
    <t>Normal BOG</t>
  </si>
  <si>
    <t>Total BOG</t>
  </si>
  <si>
    <t>Reliq</t>
  </si>
  <si>
    <t>Sea Passage</t>
  </si>
  <si>
    <t>Ballast / Loaded</t>
  </si>
  <si>
    <t>Loaded / Ballast</t>
  </si>
  <si>
    <t>Loaded</t>
  </si>
  <si>
    <t>LNG to Reliq / GCU</t>
  </si>
  <si>
    <t>Consumption LNG</t>
  </si>
  <si>
    <t>Consumption MGO</t>
  </si>
  <si>
    <t>Consumption HFO</t>
  </si>
  <si>
    <t xml:space="preserve"> VOYAGE CALCULATION</t>
  </si>
  <si>
    <t xml:space="preserve"> AVERAGE RESULTS PER DAY</t>
  </si>
  <si>
    <t>Maneuvering</t>
  </si>
  <si>
    <t/>
  </si>
  <si>
    <t>Leg Number / Name</t>
  </si>
  <si>
    <t>LNG / Day</t>
  </si>
  <si>
    <t>MGO / Day</t>
  </si>
  <si>
    <t>HFO / Day</t>
  </si>
  <si>
    <t>Normal Boil Off</t>
  </si>
  <si>
    <t>CONSUMPTION  CALCULATIONS - BY SPEEDS</t>
  </si>
  <si>
    <t>INITIAL ROB:</t>
  </si>
  <si>
    <t xml:space="preserve">FINAL ROB: </t>
  </si>
  <si>
    <t>MANUAL CALCULATIONS - BY DATES</t>
  </si>
  <si>
    <t>MANUAL CALCULATIONS - BY SPEED</t>
  </si>
  <si>
    <t>DTG [NM]</t>
  </si>
  <si>
    <t>LNG Ladden / Day</t>
  </si>
  <si>
    <t>LNG Ladden / Voyage</t>
  </si>
  <si>
    <t xml:space="preserve"> Start Zone [LT=UTC+TZ]</t>
  </si>
  <si>
    <t>End Zone [LT=UTC+TZ]</t>
  </si>
  <si>
    <t>MGO ladden / Day</t>
  </si>
  <si>
    <t>HFO ladden / Day</t>
  </si>
  <si>
    <t>Pilot Valves / Day</t>
  </si>
  <si>
    <t>Pilot Valves / Voyage</t>
  </si>
  <si>
    <t>Boiler / Day</t>
  </si>
  <si>
    <t>Boiler / Voyage</t>
  </si>
  <si>
    <t>LNG Ballast / Voyage</t>
  </si>
  <si>
    <t>MGO Ladden / Voyage</t>
  </si>
  <si>
    <t>MGO Ballast / Voyage</t>
  </si>
  <si>
    <t>HFO Ladden / Voyage</t>
  </si>
  <si>
    <t>HFO Ballast / Voyage</t>
  </si>
  <si>
    <t>My Speed</t>
  </si>
  <si>
    <t>From Now</t>
  </si>
  <si>
    <t>ETA &amp; CONSUMPTION CHECK BY SPEED</t>
  </si>
  <si>
    <t>Ladden</t>
  </si>
  <si>
    <t>LNG Ballast / Day</t>
  </si>
  <si>
    <t>MGO Ballast / Day</t>
  </si>
  <si>
    <t>HFO Ballast / Day</t>
  </si>
  <si>
    <t>LNG  / Day</t>
  </si>
  <si>
    <t>LNG  / Voyage</t>
  </si>
  <si>
    <t>MGO  / Voyage</t>
  </si>
  <si>
    <t>HFO / Voyage</t>
  </si>
  <si>
    <t>Voyage 1</t>
  </si>
  <si>
    <t>Voyage 2</t>
  </si>
  <si>
    <t>Voyage 3</t>
  </si>
  <si>
    <t>ETA &amp; CONSUMPTION FOR MULTIPLE VOYAGES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</si>
</sst>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000"/>
    <numFmt numFmtId="166" formatCode="0.0"/>
    <numFmt numFmtId="167" formatCode="#,##0.000"/>
    <numFmt numFmtId="168" formatCode="yyyy\-mm\-dd\ hh:mm"/>
    <numFmt numFmtId="169" formatCode="#,##0.0"/>
    <numFmt numFmtId="170" formatCode="0.0\ &quot;kn&quot;"/>
  </numFmts>
  <fonts count="18" x14ac:knownFonts="1">
    <font>
      <sz val="10"/>
      <name val="Arial"/>
      <family val="2"/>
      <charset val="238"/>
    </font>
    <font>
      <sz val="10"/>
      <color rgb="FF381C19"/>
      <name val="Arial"/>
      <family val="2"/>
      <charset val="238"/>
    </font>
    <font>
      <b/>
      <sz val="14"/>
      <color rgb="FF055B87"/>
      <name val="Arial"/>
      <family val="2"/>
      <charset val="238"/>
    </font>
    <font>
      <sz val="16"/>
      <color rgb="FF381C19"/>
      <name val="Arial"/>
      <family val="2"/>
      <charset val="238"/>
    </font>
    <font>
      <sz val="10"/>
      <color rgb="FFD2382A"/>
      <name val="Arial"/>
      <family val="2"/>
      <charset val="238"/>
    </font>
    <font>
      <b/>
      <sz val="10"/>
      <color rgb="FF006C69"/>
      <name val="Arial"/>
      <family val="2"/>
      <charset val="238"/>
    </font>
    <font>
      <b/>
      <sz val="10"/>
      <color rgb="FF381C19"/>
      <name val="Arial"/>
      <family val="2"/>
      <charset val="238"/>
    </font>
    <font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0"/>
      <color rgb="FF381C19"/>
      <name val="Arial"/>
      <family val="2"/>
      <charset val="161"/>
    </font>
    <font>
      <sz val="10"/>
      <color rgb="FF006C69"/>
      <name val="Arial"/>
      <family val="2"/>
      <charset val="161"/>
    </font>
    <font>
      <sz val="10"/>
      <color rgb="FF000000"/>
      <name val="Arial"/>
      <family val="2"/>
      <charset val="161"/>
    </font>
    <font>
      <sz val="10"/>
      <color rgb="FF381C19"/>
      <name val="Arial"/>
      <family val="2"/>
      <charset val="161"/>
    </font>
    <font>
      <b/>
      <sz val="10"/>
      <color rgb="FF381C19"/>
      <name val="Arial"/>
      <family val="2"/>
      <charset val="161"/>
    </font>
    <font>
      <b/>
      <sz val="10"/>
      <color rgb="FFD2382A"/>
      <name val="Arial"/>
      <family val="2"/>
      <charset val="161"/>
    </font>
    <font>
      <sz val="10"/>
      <color rgb="FFD2382A"/>
      <name val="Arial"/>
      <family val="2"/>
      <charset val="161"/>
    </font>
    <font>
      <b/>
      <sz val="10"/>
      <color rgb="FF006C69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/>
  </cellStyleXfs>
  <cellXfs count="20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6" fontId="5" fillId="0" borderId="11" xfId="0" quotePrefix="1" applyNumberFormat="1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8" fillId="0" borderId="0" xfId="1" applyAlignment="1" applyProtection="1">
      <alignment horizontal="left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6" fontId="1" fillId="0" borderId="12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167" fontId="5" fillId="0" borderId="2" xfId="0" applyNumberFormat="1" applyFont="1" applyBorder="1" applyAlignment="1" applyProtection="1">
      <alignment horizontal="center"/>
      <protection locked="0"/>
    </xf>
    <xf numFmtId="4" fontId="6" fillId="0" borderId="14" xfId="0" applyNumberFormat="1" applyFont="1" applyBorder="1" applyAlignment="1">
      <alignment horizontal="center"/>
    </xf>
    <xf numFmtId="4" fontId="5" fillId="0" borderId="11" xfId="0" quotePrefix="1" applyNumberFormat="1" applyFont="1" applyBorder="1" applyAlignment="1" applyProtection="1">
      <alignment horizontal="center"/>
      <protection locked="0"/>
    </xf>
    <xf numFmtId="4" fontId="5" fillId="0" borderId="10" xfId="0" quotePrefix="1" applyNumberFormat="1" applyFont="1" applyBorder="1" applyAlignment="1" applyProtection="1">
      <alignment horizontal="center"/>
      <protection locked="0"/>
    </xf>
    <xf numFmtId="4" fontId="5" fillId="0" borderId="2" xfId="0" applyNumberFormat="1" applyFont="1" applyBorder="1" applyAlignment="1" applyProtection="1">
      <alignment horizontal="center"/>
      <protection locked="0"/>
    </xf>
    <xf numFmtId="4" fontId="5" fillId="0" borderId="3" xfId="0" applyNumberFormat="1" applyFont="1" applyBorder="1" applyAlignment="1" applyProtection="1">
      <alignment horizontal="center"/>
      <protection locked="0"/>
    </xf>
    <xf numFmtId="164" fontId="4" fillId="0" borderId="27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4" fontId="6" fillId="0" borderId="17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1" fillId="0" borderId="14" xfId="0" applyNumberFormat="1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3" fontId="11" fillId="0" borderId="14" xfId="0" applyNumberFormat="1" applyFont="1" applyBorder="1" applyAlignment="1" applyProtection="1">
      <alignment horizontal="center"/>
      <protection locked="0"/>
    </xf>
    <xf numFmtId="168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3" fontId="11" fillId="0" borderId="2" xfId="0" applyNumberFormat="1" applyFont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3" fontId="11" fillId="0" borderId="3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2" fontId="16" fillId="0" borderId="8" xfId="0" applyNumberFormat="1" applyFont="1" applyBorder="1" applyAlignment="1">
      <alignment horizontal="center"/>
    </xf>
    <xf numFmtId="2" fontId="16" fillId="0" borderId="9" xfId="0" applyNumberFormat="1" applyFont="1" applyBorder="1" applyAlignment="1">
      <alignment horizontal="center"/>
    </xf>
    <xf numFmtId="3" fontId="11" fillId="0" borderId="1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11" fillId="0" borderId="5" xfId="0" applyNumberFormat="1" applyFont="1" applyBorder="1" applyAlignment="1" applyProtection="1">
      <alignment horizontal="center"/>
      <protection locked="0"/>
    </xf>
    <xf numFmtId="168" fontId="13" fillId="0" borderId="2" xfId="0" applyNumberFormat="1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170" fontId="1" fillId="0" borderId="1" xfId="0" applyNumberFormat="1" applyFont="1" applyBorder="1" applyAlignment="1">
      <alignment horizontal="center"/>
    </xf>
    <xf numFmtId="4" fontId="6" fillId="0" borderId="32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4" fontId="6" fillId="0" borderId="33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6" fillId="0" borderId="27" xfId="0" applyNumberFormat="1" applyFont="1" applyBorder="1" applyAlignment="1">
      <alignment horizontal="center"/>
    </xf>
    <xf numFmtId="164" fontId="4" fillId="0" borderId="35" xfId="0" applyNumberFormat="1" applyFont="1" applyBorder="1"/>
    <xf numFmtId="4" fontId="6" fillId="0" borderId="9" xfId="0" applyNumberFormat="1" applyFont="1" applyBorder="1" applyAlignment="1">
      <alignment horizontal="center"/>
    </xf>
    <xf numFmtId="4" fontId="1" fillId="0" borderId="29" xfId="0" applyNumberFormat="1" applyFont="1" applyBorder="1" applyAlignment="1">
      <alignment horizontal="center"/>
    </xf>
    <xf numFmtId="4" fontId="16" fillId="0" borderId="8" xfId="0" applyNumberFormat="1" applyFont="1" applyBorder="1" applyAlignment="1">
      <alignment horizontal="center"/>
    </xf>
    <xf numFmtId="4" fontId="16" fillId="0" borderId="9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164" fontId="4" fillId="0" borderId="36" xfId="0" applyNumberFormat="1" applyFont="1" applyBorder="1" applyAlignment="1">
      <alignment horizontal="center"/>
    </xf>
    <xf numFmtId="2" fontId="16" fillId="0" borderId="28" xfId="0" applyNumberFormat="1" applyFont="1" applyBorder="1" applyAlignment="1">
      <alignment horizontal="center"/>
    </xf>
    <xf numFmtId="3" fontId="11" fillId="0" borderId="13" xfId="0" applyNumberFormat="1" applyFont="1" applyBorder="1" applyAlignment="1" applyProtection="1">
      <alignment horizontal="center"/>
      <protection locked="0"/>
    </xf>
    <xf numFmtId="3" fontId="11" fillId="0" borderId="10" xfId="0" applyNumberFormat="1" applyFont="1" applyBorder="1" applyAlignment="1" applyProtection="1">
      <alignment horizontal="center"/>
      <protection locked="0"/>
    </xf>
    <xf numFmtId="3" fontId="11" fillId="0" borderId="3" xfId="0" applyNumberFormat="1" applyFont="1" applyBorder="1" applyAlignment="1" applyProtection="1">
      <alignment horizontal="center"/>
      <protection locked="0"/>
    </xf>
    <xf numFmtId="3" fontId="11" fillId="0" borderId="34" xfId="0" applyNumberFormat="1" applyFont="1" applyBorder="1" applyAlignment="1" applyProtection="1">
      <alignment horizontal="center"/>
      <protection locked="0"/>
    </xf>
    <xf numFmtId="168" fontId="17" fillId="0" borderId="14" xfId="0" applyNumberFormat="1" applyFont="1" applyBorder="1" applyAlignment="1" applyProtection="1">
      <alignment horizontal="center"/>
      <protection locked="0"/>
    </xf>
    <xf numFmtId="3" fontId="17" fillId="0" borderId="14" xfId="0" applyNumberFormat="1" applyFont="1" applyBorder="1" applyAlignment="1" applyProtection="1">
      <alignment horizontal="center"/>
      <protection locked="0"/>
    </xf>
    <xf numFmtId="168" fontId="17" fillId="0" borderId="2" xfId="0" applyNumberFormat="1" applyFont="1" applyBorder="1" applyAlignment="1" applyProtection="1">
      <alignment horizontal="center"/>
      <protection locked="0"/>
    </xf>
    <xf numFmtId="3" fontId="17" fillId="0" borderId="2" xfId="0" applyNumberFormat="1" applyFont="1" applyBorder="1" applyAlignment="1" applyProtection="1">
      <alignment horizontal="center"/>
      <protection locked="0"/>
    </xf>
    <xf numFmtId="3" fontId="17" fillId="0" borderId="5" xfId="0" applyNumberFormat="1" applyFont="1" applyBorder="1" applyAlignment="1" applyProtection="1">
      <alignment horizontal="center"/>
      <protection locked="0"/>
    </xf>
    <xf numFmtId="4" fontId="12" fillId="0" borderId="24" xfId="0" applyNumberFormat="1" applyFont="1" applyBorder="1" applyAlignment="1">
      <alignment horizontal="center"/>
    </xf>
    <xf numFmtId="169" fontId="12" fillId="0" borderId="17" xfId="0" applyNumberFormat="1" applyFont="1" applyBorder="1" applyAlignment="1">
      <alignment horizontal="center"/>
    </xf>
    <xf numFmtId="4" fontId="12" fillId="0" borderId="13" xfId="0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23" xfId="0" applyNumberFormat="1" applyFont="1" applyBorder="1" applyAlignment="1">
      <alignment horizontal="center"/>
    </xf>
    <xf numFmtId="169" fontId="12" fillId="0" borderId="22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12" fillId="0" borderId="20" xfId="0" applyNumberFormat="1" applyFont="1" applyBorder="1" applyAlignment="1">
      <alignment horizontal="center"/>
    </xf>
    <xf numFmtId="169" fontId="12" fillId="0" borderId="15" xfId="0" applyNumberFormat="1" applyFont="1" applyBorder="1" applyAlignment="1">
      <alignment horizontal="center"/>
    </xf>
    <xf numFmtId="4" fontId="12" fillId="0" borderId="3" xfId="0" quotePrefix="1" applyNumberFormat="1" applyFont="1" applyBorder="1" applyAlignment="1">
      <alignment horizontal="center"/>
    </xf>
    <xf numFmtId="4" fontId="12" fillId="0" borderId="0" xfId="0" quotePrefix="1" applyNumberFormat="1" applyFont="1" applyAlignment="1">
      <alignment horizontal="center"/>
    </xf>
    <xf numFmtId="164" fontId="16" fillId="0" borderId="8" xfId="0" applyNumberFormat="1" applyFont="1" applyBorder="1" applyAlignment="1">
      <alignment horizontal="center"/>
    </xf>
    <xf numFmtId="164" fontId="16" fillId="0" borderId="27" xfId="0" applyNumberFormat="1" applyFont="1" applyBorder="1" applyAlignment="1">
      <alignment horizontal="center"/>
    </xf>
    <xf numFmtId="164" fontId="16" fillId="0" borderId="9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8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20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3" fillId="0" borderId="37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4" fontId="13" fillId="0" borderId="3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3" fillId="0" borderId="6" xfId="0" applyNumberFormat="1" applyFont="1" applyBorder="1" applyAlignment="1">
      <alignment horizontal="center"/>
    </xf>
    <xf numFmtId="4" fontId="11" fillId="0" borderId="14" xfId="0" applyNumberFormat="1" applyFont="1" applyBorder="1" applyAlignment="1" applyProtection="1">
      <alignment horizontal="center"/>
      <protection locked="0"/>
    </xf>
    <xf numFmtId="4" fontId="11" fillId="0" borderId="2" xfId="0" applyNumberFormat="1" applyFont="1" applyBorder="1" applyAlignment="1" applyProtection="1">
      <alignment horizontal="center"/>
      <protection locked="0"/>
    </xf>
    <xf numFmtId="164" fontId="16" fillId="0" borderId="28" xfId="0" applyNumberFormat="1" applyFont="1" applyBorder="1" applyAlignment="1">
      <alignment horizontal="center"/>
    </xf>
    <xf numFmtId="168" fontId="11" fillId="0" borderId="11" xfId="0" applyNumberFormat="1" applyFont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168" fontId="13" fillId="0" borderId="5" xfId="0" applyNumberFormat="1" applyFont="1" applyBorder="1" applyAlignment="1" applyProtection="1">
      <alignment horizontal="center"/>
      <protection locked="0"/>
    </xf>
    <xf numFmtId="168" fontId="13" fillId="0" borderId="14" xfId="0" applyNumberFormat="1" applyFont="1" applyBorder="1" applyAlignment="1">
      <alignment horizontal="center"/>
    </xf>
    <xf numFmtId="168" fontId="13" fillId="0" borderId="11" xfId="0" applyNumberFormat="1" applyFont="1" applyBorder="1" applyAlignment="1">
      <alignment horizontal="center"/>
    </xf>
    <xf numFmtId="168" fontId="13" fillId="0" borderId="2" xfId="0" applyNumberFormat="1" applyFont="1" applyBorder="1" applyAlignment="1">
      <alignment horizontal="center"/>
    </xf>
    <xf numFmtId="168" fontId="13" fillId="0" borderId="5" xfId="0" applyNumberFormat="1" applyFont="1" applyBorder="1" applyAlignment="1">
      <alignment horizontal="center"/>
    </xf>
    <xf numFmtId="164" fontId="16" fillId="0" borderId="38" xfId="0" applyNumberFormat="1" applyFont="1" applyBorder="1" applyAlignment="1">
      <alignment horizontal="center"/>
    </xf>
    <xf numFmtId="165" fontId="15" fillId="0" borderId="16" xfId="0" applyNumberFormat="1" applyFont="1" applyBorder="1" applyAlignment="1">
      <alignment horizontal="center"/>
    </xf>
    <xf numFmtId="4" fontId="16" fillId="0" borderId="21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164" fontId="16" fillId="0" borderId="5" xfId="0" applyNumberFormat="1" applyFont="1" applyBorder="1" applyAlignment="1">
      <alignment horizontal="center"/>
    </xf>
    <xf numFmtId="4" fontId="17" fillId="0" borderId="14" xfId="0" applyNumberFormat="1" applyFont="1" applyBorder="1" applyAlignment="1" applyProtection="1">
      <alignment horizontal="center"/>
      <protection locked="0"/>
    </xf>
    <xf numFmtId="4" fontId="17" fillId="0" borderId="13" xfId="0" applyNumberFormat="1" applyFont="1" applyBorder="1" applyAlignment="1" applyProtection="1">
      <alignment horizontal="center"/>
      <protection locked="0"/>
    </xf>
    <xf numFmtId="4" fontId="17" fillId="0" borderId="2" xfId="0" applyNumberFormat="1" applyFont="1" applyBorder="1" applyAlignment="1" applyProtection="1">
      <alignment horizontal="center"/>
      <protection locked="0"/>
    </xf>
    <xf numFmtId="168" fontId="14" fillId="0" borderId="14" xfId="0" applyNumberFormat="1" applyFont="1" applyBorder="1" applyAlignment="1">
      <alignment horizontal="center"/>
    </xf>
    <xf numFmtId="168" fontId="14" fillId="0" borderId="2" xfId="0" applyNumberFormat="1" applyFont="1" applyBorder="1" applyAlignment="1">
      <alignment horizontal="center"/>
    </xf>
    <xf numFmtId="168" fontId="14" fillId="0" borderId="5" xfId="0" applyNumberFormat="1" applyFont="1" applyBorder="1" applyAlignment="1">
      <alignment horizontal="center"/>
    </xf>
    <xf numFmtId="169" fontId="12" fillId="0" borderId="13" xfId="0" applyNumberFormat="1" applyFont="1" applyBorder="1" applyAlignment="1">
      <alignment horizontal="center"/>
    </xf>
    <xf numFmtId="169" fontId="12" fillId="0" borderId="3" xfId="0" applyNumberFormat="1" applyFont="1" applyBorder="1" applyAlignment="1">
      <alignment horizontal="center"/>
    </xf>
    <xf numFmtId="169" fontId="12" fillId="0" borderId="14" xfId="0" applyNumberFormat="1" applyFont="1" applyBorder="1" applyAlignment="1">
      <alignment horizontal="center"/>
    </xf>
    <xf numFmtId="169" fontId="12" fillId="0" borderId="2" xfId="0" applyNumberFormat="1" applyFont="1" applyBorder="1" applyAlignment="1">
      <alignment horizontal="center"/>
    </xf>
    <xf numFmtId="168" fontId="14" fillId="0" borderId="39" xfId="0" applyNumberFormat="1" applyFont="1" applyBorder="1" applyAlignment="1">
      <alignment horizontal="center"/>
    </xf>
    <xf numFmtId="4" fontId="12" fillId="0" borderId="39" xfId="0" applyNumberFormat="1" applyFont="1" applyBorder="1" applyAlignment="1">
      <alignment horizontal="center"/>
    </xf>
    <xf numFmtId="169" fontId="12" fillId="0" borderId="39" xfId="0" applyNumberFormat="1" applyFont="1" applyBorder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168" fontId="17" fillId="0" borderId="0" xfId="0" applyNumberFormat="1" applyFont="1" applyAlignment="1" applyProtection="1">
      <alignment horizontal="center"/>
      <protection locked="0"/>
    </xf>
    <xf numFmtId="4" fontId="17" fillId="0" borderId="0" xfId="0" applyNumberFormat="1" applyFont="1" applyAlignment="1" applyProtection="1">
      <alignment horizontal="center"/>
      <protection locked="0"/>
    </xf>
    <xf numFmtId="3" fontId="17" fillId="0" borderId="0" xfId="0" applyNumberFormat="1" applyFont="1" applyAlignment="1" applyProtection="1">
      <alignment horizontal="center"/>
      <protection locked="0"/>
    </xf>
    <xf numFmtId="168" fontId="14" fillId="0" borderId="0" xfId="0" applyNumberFormat="1" applyFont="1" applyAlignment="1">
      <alignment horizontal="center"/>
    </xf>
    <xf numFmtId="169" fontId="12" fillId="0" borderId="0" xfId="0" applyNumberFormat="1" applyFont="1" applyAlignment="1">
      <alignment horizontal="center"/>
    </xf>
    <xf numFmtId="4" fontId="12" fillId="0" borderId="2" xfId="0" applyNumberFormat="1" applyFont="1" applyBorder="1" applyAlignment="1">
      <alignment horizontal="center"/>
    </xf>
    <xf numFmtId="4" fontId="12" fillId="0" borderId="14" xfId="0" applyNumberFormat="1" applyFont="1" applyBorder="1" applyAlignment="1">
      <alignment horizontal="center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4" fontId="17" fillId="0" borderId="5" xfId="0" applyNumberFormat="1" applyFont="1" applyBorder="1" applyAlignment="1" applyProtection="1">
      <alignment horizontal="center"/>
      <protection locked="0"/>
    </xf>
    <xf numFmtId="4" fontId="12" fillId="0" borderId="5" xfId="0" applyNumberFormat="1" applyFont="1" applyBorder="1" applyAlignment="1">
      <alignment horizontal="center"/>
    </xf>
    <xf numFmtId="169" fontId="12" fillId="0" borderId="5" xfId="0" applyNumberFormat="1" applyFont="1" applyBorder="1" applyAlignment="1">
      <alignment horizontal="center"/>
    </xf>
    <xf numFmtId="169" fontId="12" fillId="0" borderId="6" xfId="0" applyNumberFormat="1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168" fontId="17" fillId="0" borderId="39" xfId="0" applyNumberFormat="1" applyFont="1" applyBorder="1" applyAlignment="1">
      <alignment horizontal="center"/>
    </xf>
    <xf numFmtId="4" fontId="17" fillId="0" borderId="39" xfId="0" applyNumberFormat="1" applyFont="1" applyBorder="1" applyAlignment="1">
      <alignment horizontal="center"/>
    </xf>
    <xf numFmtId="3" fontId="17" fillId="0" borderId="39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5" fillId="0" borderId="14" xfId="0" applyNumberFormat="1" applyFont="1" applyBorder="1" applyAlignment="1" applyProtection="1">
      <alignment horizontal="center"/>
      <protection locked="0"/>
    </xf>
    <xf numFmtId="168" fontId="15" fillId="0" borderId="5" xfId="0" applyNumberFormat="1" applyFont="1" applyBorder="1" applyAlignment="1" applyProtection="1">
      <alignment horizontal="center"/>
      <protection locked="0"/>
    </xf>
    <xf numFmtId="0" fontId="11" fillId="0" borderId="40" xfId="0" applyFont="1" applyBorder="1" applyAlignment="1" applyProtection="1">
      <alignment horizontal="center"/>
      <protection locked="0"/>
    </xf>
    <xf numFmtId="168" fontId="17" fillId="0" borderId="40" xfId="0" applyNumberFormat="1" applyFont="1" applyBorder="1" applyAlignment="1" applyProtection="1">
      <alignment horizontal="center"/>
      <protection locked="0"/>
    </xf>
    <xf numFmtId="4" fontId="17" fillId="0" borderId="40" xfId="0" applyNumberFormat="1" applyFont="1" applyBorder="1" applyAlignment="1" applyProtection="1">
      <alignment horizontal="center"/>
      <protection locked="0"/>
    </xf>
    <xf numFmtId="3" fontId="17" fillId="0" borderId="40" xfId="0" applyNumberFormat="1" applyFont="1" applyBorder="1" applyAlignment="1" applyProtection="1">
      <alignment horizontal="center"/>
      <protection locked="0"/>
    </xf>
    <xf numFmtId="168" fontId="14" fillId="0" borderId="40" xfId="0" applyNumberFormat="1" applyFont="1" applyBorder="1" applyAlignment="1">
      <alignment horizontal="center"/>
    </xf>
    <xf numFmtId="4" fontId="12" fillId="0" borderId="40" xfId="0" applyNumberFormat="1" applyFont="1" applyBorder="1" applyAlignment="1">
      <alignment horizontal="center"/>
    </xf>
    <xf numFmtId="169" fontId="12" fillId="0" borderId="40" xfId="0" applyNumberFormat="1" applyFont="1" applyBorder="1" applyAlignment="1">
      <alignment horizontal="center"/>
    </xf>
    <xf numFmtId="0" fontId="11" fillId="0" borderId="41" xfId="0" applyFont="1" applyBorder="1" applyAlignment="1" applyProtection="1">
      <alignment horizontal="center"/>
      <protection locked="0"/>
    </xf>
    <xf numFmtId="168" fontId="17" fillId="0" borderId="41" xfId="0" applyNumberFormat="1" applyFont="1" applyBorder="1" applyAlignment="1" applyProtection="1">
      <alignment horizontal="center"/>
      <protection locked="0"/>
    </xf>
    <xf numFmtId="4" fontId="17" fillId="0" borderId="41" xfId="0" applyNumberFormat="1" applyFont="1" applyBorder="1" applyAlignment="1" applyProtection="1">
      <alignment horizontal="center"/>
      <protection locked="0"/>
    </xf>
    <xf numFmtId="3" fontId="17" fillId="0" borderId="41" xfId="0" applyNumberFormat="1" applyFont="1" applyBorder="1" applyAlignment="1" applyProtection="1">
      <alignment horizontal="center"/>
      <protection locked="0"/>
    </xf>
    <xf numFmtId="168" fontId="14" fillId="0" borderId="41" xfId="0" applyNumberFormat="1" applyFont="1" applyBorder="1" applyAlignment="1">
      <alignment horizontal="center"/>
    </xf>
    <xf numFmtId="4" fontId="12" fillId="0" borderId="41" xfId="0" applyNumberFormat="1" applyFont="1" applyBorder="1" applyAlignment="1">
      <alignment horizontal="center"/>
    </xf>
    <xf numFmtId="169" fontId="12" fillId="0" borderId="41" xfId="0" applyNumberFormat="1" applyFont="1" applyBorder="1" applyAlignment="1">
      <alignment horizontal="center"/>
    </xf>
    <xf numFmtId="169" fontId="5" fillId="0" borderId="15" xfId="0" applyNumberFormat="1" applyFont="1" applyBorder="1" applyAlignment="1" applyProtection="1">
      <alignment horizontal="center"/>
      <protection locked="0"/>
    </xf>
    <xf numFmtId="169" fontId="5" fillId="0" borderId="25" xfId="0" applyNumberFormat="1" applyFont="1" applyBorder="1" applyAlignment="1" applyProtection="1">
      <alignment horizontal="center"/>
      <protection locked="0"/>
    </xf>
    <xf numFmtId="169" fontId="5" fillId="0" borderId="18" xfId="0" applyNumberFormat="1" applyFont="1" applyBorder="1" applyAlignment="1" applyProtection="1">
      <alignment horizontal="center"/>
      <protection locked="0"/>
    </xf>
    <xf numFmtId="164" fontId="1" fillId="0" borderId="2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7" fontId="5" fillId="0" borderId="17" xfId="0" applyNumberFormat="1" applyFont="1" applyBorder="1" applyAlignment="1" applyProtection="1">
      <alignment horizontal="center"/>
      <protection locked="0"/>
    </xf>
    <xf numFmtId="167" fontId="5" fillId="0" borderId="26" xfId="0" applyNumberFormat="1" applyFont="1" applyBorder="1" applyAlignment="1" applyProtection="1">
      <alignment horizontal="center"/>
      <protection locked="0"/>
    </xf>
    <xf numFmtId="167" fontId="5" fillId="0" borderId="19" xfId="0" applyNumberFormat="1" applyFont="1" applyBorder="1" applyAlignment="1" applyProtection="1">
      <alignment horizontal="center"/>
      <protection locked="0"/>
    </xf>
    <xf numFmtId="167" fontId="5" fillId="0" borderId="15" xfId="0" applyNumberFormat="1" applyFont="1" applyBorder="1" applyAlignment="1" applyProtection="1">
      <alignment horizontal="center"/>
      <protection locked="0"/>
    </xf>
    <xf numFmtId="167" fontId="5" fillId="0" borderId="25" xfId="0" applyNumberFormat="1" applyFont="1" applyBorder="1" applyAlignment="1" applyProtection="1">
      <alignment horizontal="center"/>
      <protection locked="0"/>
    </xf>
    <xf numFmtId="167" fontId="5" fillId="0" borderId="18" xfId="0" applyNumberFormat="1" applyFont="1" applyBorder="1" applyAlignment="1" applyProtection="1">
      <alignment horizontal="center"/>
      <protection locked="0"/>
    </xf>
    <xf numFmtId="169" fontId="5" fillId="0" borderId="15" xfId="0" applyNumberFormat="1" applyFont="1" applyBorder="1" applyAlignment="1">
      <alignment horizontal="center"/>
    </xf>
    <xf numFmtId="169" fontId="5" fillId="0" borderId="25" xfId="0" applyNumberFormat="1" applyFont="1" applyBorder="1" applyAlignment="1">
      <alignment horizontal="center"/>
    </xf>
    <xf numFmtId="169" fontId="5" fillId="0" borderId="18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</cellXfs>
  <cellStyles count="3">
    <cellStyle name="Hiperłącze" xfId="1" builtinId="8"/>
    <cellStyle name="Normal 2" xfId="2" xr:uid="{00000000-0005-0000-0000-000002000000}"/>
    <cellStyle name="Normalny" xfId="0" builtinId="0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D2382A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1C19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D2382A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6C69"/>
      <color rgb="FFD2382A"/>
      <color rgb="FF381C19"/>
      <color rgb="FF00B6ED"/>
      <color rgb="FFFFCD2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P4:BA24" totalsRowShown="0" headerRowDxfId="155" dataDxfId="154">
  <autoFilter ref="P4:BA24" xr:uid="{00000000-0009-0000-0100-000001000000}"/>
  <tableColumns count="38">
    <tableColumn id="38" xr3:uid="{00000000-0010-0000-0000-000026000000}" name="Loaded / Ballast" dataDxfId="153" totalsRowDxfId="152"/>
    <tableColumn id="39" xr3:uid="{00000000-0010-0000-0000-000027000000}" name="Column2" dataDxfId="151" totalsRowDxfId="150">
      <calculatedColumnFormula>IF(H5=$P$5,1,IF(H5=$P$6,2,3))</calculatedColumnFormula>
    </tableColumn>
    <tableColumn id="1" xr3:uid="{00000000-0010-0000-0000-000001000000}" name="Activity  choose Tab" dataDxfId="149" totalsRowDxfId="148"/>
    <tableColumn id="2" xr3:uid="{00000000-0010-0000-0000-000002000000}" name="Column1" dataDxfId="147" totalsRowDxfId="146">
      <calculatedColumnFormula>IF(G5=R$5,1,IF(G5=R$6,2,IF(G5=R$7,3,IF(G5=R$8,4,IF(G5=R$9,5,IF(G5=R$10,6,IF(G5=R$11,7,IF(G5=R$12,8,9))))))))</calculatedColumnFormula>
    </tableColumn>
    <tableColumn id="4" xr3:uid="{00000000-0010-0000-0000-000004000000}" name="Reliq Plant" dataDxfId="145" totalsRowDxfId="144"/>
    <tableColumn id="5" xr3:uid="{00000000-0010-0000-0000-000005000000}" name="Reliq" dataDxfId="143" totalsRowDxfId="142">
      <calculatedColumnFormula>IF(I5=$T$5,1,IF(I5=$T$6,2,3))</calculatedColumnFormula>
    </tableColumn>
    <tableColumn id="6" xr3:uid="{00000000-0010-0000-0000-000006000000}" name="Fuel" dataDxfId="141" totalsRowDxfId="140"/>
    <tableColumn id="7" xr3:uid="{00000000-0010-0000-0000-000007000000}" name="Column3" dataDxfId="139" totalsRowDxfId="138">
      <calculatedColumnFormula>IF(K5=$V$5,1,IF(K5=$V$6,2,IF(K5=$V$7,3,4)))</calculatedColumnFormula>
    </tableColumn>
    <tableColumn id="8" xr3:uid="{00000000-0010-0000-0000-000008000000}" name="Laden LNG" dataDxfId="137" totalsRowDxfId="136">
      <calculatedColumnFormula>IF(AND(Table1[[#This Row],[Column1]]=2,Table1[[#This Row],[Column3]]=1,Table1[[#This Row],[Column2]]=1),2,0)</calculatedColumnFormula>
    </tableColumn>
    <tableColumn id="9" xr3:uid="{00000000-0010-0000-0000-000009000000}" name="Laden MGO" dataDxfId="135" totalsRowDxfId="134">
      <calculatedColumnFormula>IF(AND(Table1[[#This Row],[Column1]]=2,Table1[[#This Row],[Column3]]=2,Table1[[#This Row],[Column2]]=1),3,0)</calculatedColumnFormula>
    </tableColumn>
    <tableColumn id="10" xr3:uid="{00000000-0010-0000-0000-00000A000000}" name="Laden HFO" dataDxfId="133" totalsRowDxfId="132">
      <calculatedColumnFormula>IF(AND(Table1[[#This Row],[Column1]]=2,Table1[[#This Row],[Column3]]=3,Table1[[#This Row],[Column2]]=1),4,0)</calculatedColumnFormula>
    </tableColumn>
    <tableColumn id="11" xr3:uid="{00000000-0010-0000-0000-00000B000000}" name="Ballast LNG" dataDxfId="131" totalsRowDxfId="130">
      <calculatedColumnFormula>IF(AND(Table1[[#This Row],[Column1]]=2,Table1[[#This Row],[Column3]]=1,Table1[[#This Row],[Column2]]=2),5,0)</calculatedColumnFormula>
    </tableColumn>
    <tableColumn id="12" xr3:uid="{00000000-0010-0000-0000-00000C000000}" name="Ballast MGO" dataDxfId="129" totalsRowDxfId="128">
      <calculatedColumnFormula>IF(AND(Table1[[#This Row],[Column1]]=2,Table1[[#This Row],[Column3]]=2,Table1[[#This Row],[Column2]]=2),6,0)</calculatedColumnFormula>
    </tableColumn>
    <tableColumn id="13" xr3:uid="{00000000-0010-0000-0000-00000D000000}" name="Ballast HFO" dataDxfId="127" totalsRowDxfId="126">
      <calculatedColumnFormula>IF(AND(Table1[[#This Row],[Column1]]=2,Table1[[#This Row],[Column3]]=3,Table1[[#This Row],[Column2]]=2),7,0)</calculatedColumnFormula>
    </tableColumn>
    <tableColumn id="14" xr3:uid="{00000000-0010-0000-0000-00000E000000}" name="Loading LNG" dataDxfId="125" totalsRowDxfId="124">
      <calculatedColumnFormula>IF(AND(Table1[[#This Row],[Column1]]=3,Table1[[#This Row],[Column3]]=1),8,0)</calculatedColumnFormula>
    </tableColumn>
    <tableColumn id="15" xr3:uid="{00000000-0010-0000-0000-00000F000000}" name="Loading MGO" dataDxfId="123" totalsRowDxfId="122">
      <calculatedColumnFormula>IF(AND(Table1[[#This Row],[Column1]]=3,Table1[[#This Row],[Column3]]=2),9,0)</calculatedColumnFormula>
    </tableColumn>
    <tableColumn id="16" xr3:uid="{00000000-0010-0000-0000-000010000000}" name="Loading HFO" dataDxfId="121" totalsRowDxfId="120">
      <calculatedColumnFormula>IF(AND(Table1[[#This Row],[Column1]]=3,Table1[[#This Row],[Column3]]=3),10,0)</calculatedColumnFormula>
    </tableColumn>
    <tableColumn id="17" xr3:uid="{00000000-0010-0000-0000-000011000000}" name="Dischargong LNG" dataDxfId="119" totalsRowDxfId="118">
      <calculatedColumnFormula>IF(AND(Table1[[#This Row],[Column1]]=4,Table1[[#This Row],[Column3]]=1),11,0)</calculatedColumnFormula>
    </tableColumn>
    <tableColumn id="18" xr3:uid="{00000000-0010-0000-0000-000012000000}" name="Discharging MGO" dataDxfId="117" totalsRowDxfId="116">
      <calculatedColumnFormula>IF(AND(Table1[[#This Row],[Column1]]=4,Table1[[#This Row],[Column3]]=2),12,0)</calculatedColumnFormula>
    </tableColumn>
    <tableColumn id="19" xr3:uid="{00000000-0010-0000-0000-000013000000}" name="Discharging HFO" dataDxfId="115" totalsRowDxfId="114">
      <calculatedColumnFormula>IF(AND(Table1[[#This Row],[Column1]]=4,Table1[[#This Row],[Column3]]=3),13,0)</calculatedColumnFormula>
    </tableColumn>
    <tableColumn id="20" xr3:uid="{00000000-0010-0000-0000-000014000000}" name="Manouvering LNG" dataDxfId="113" totalsRowDxfId="112">
      <calculatedColumnFormula>IF(AND(Table1[[#This Row],[Column1]]=5,Table1[[#This Row],[Column3]]=1),14,0)</calculatedColumnFormula>
    </tableColumn>
    <tableColumn id="21" xr3:uid="{00000000-0010-0000-0000-000015000000}" name="Manouvering MGO" dataDxfId="111" totalsRowDxfId="110">
      <calculatedColumnFormula>IF(AND(Table1[[#This Row],[Column1]]=5,Table1[[#This Row],[Column3]]=2),15,0)</calculatedColumnFormula>
    </tableColumn>
    <tableColumn id="22" xr3:uid="{00000000-0010-0000-0000-000016000000}" name="Manouvering HFO" dataDxfId="109" totalsRowDxfId="108">
      <calculatedColumnFormula>IF(AND(Table1[[#This Row],[Column1]]=5,Table1[[#This Row],[Column3]]=3),16,0)</calculatedColumnFormula>
    </tableColumn>
    <tableColumn id="23" xr3:uid="{00000000-0010-0000-0000-000017000000}" name="Drifting LNG" dataDxfId="107" totalsRowDxfId="106">
      <calculatedColumnFormula>IF(AND(Table1[[#This Row],[Column1]]=6,Table1[[#This Row],[Column3]]=1),17,0)</calculatedColumnFormula>
    </tableColumn>
    <tableColumn id="24" xr3:uid="{00000000-0010-0000-0000-000018000000}" name="Drifting MGO" dataDxfId="105" totalsRowDxfId="104">
      <calculatedColumnFormula>IF(AND(Table1[[#This Row],[Column1]]=6,Table1[[#This Row],[Column3]]=2),18,0)</calculatedColumnFormula>
    </tableColumn>
    <tableColumn id="25" xr3:uid="{00000000-0010-0000-0000-000019000000}" name="Drifting HFO" dataDxfId="103" totalsRowDxfId="102">
      <calculatedColumnFormula>IF(AND(Table1[[#This Row],[Column1]]=6,Table1[[#This Row],[Column3]]=3),19,0)</calculatedColumnFormula>
    </tableColumn>
    <tableColumn id="26" xr3:uid="{00000000-0010-0000-0000-00001A000000}" name="Anchoring LNG" dataDxfId="101" totalsRowDxfId="100">
      <calculatedColumnFormula>IF(AND(Table1[[#This Row],[Column1]]=7,Table1[[#This Row],[Column3]]=1),20,0)</calculatedColumnFormula>
    </tableColumn>
    <tableColumn id="27" xr3:uid="{00000000-0010-0000-0000-00001B000000}" name="Anchoring MGO" dataDxfId="99" totalsRowDxfId="98">
      <calculatedColumnFormula>IF(AND(Table1[[#This Row],[Column1]]=7,Table1[[#This Row],[Column3]]=2),21,0)</calculatedColumnFormula>
    </tableColumn>
    <tableColumn id="28" xr3:uid="{00000000-0010-0000-0000-00001C000000}" name="Anchoring HFO" dataDxfId="97" totalsRowDxfId="96">
      <calculatedColumnFormula>IF(AND(Table1[[#This Row],[Column1]]=7,Table1[[#This Row],[Column3]]=3),22,0)</calculatedColumnFormula>
    </tableColumn>
    <tableColumn id="29" xr3:uid="{00000000-0010-0000-0000-00001D000000}" name="Idle LNG" dataDxfId="95" totalsRowDxfId="94">
      <calculatedColumnFormula>IF(AND(Table1[[#This Row],[Column1]]=8,Table1[[#This Row],[Column3]]=1),23,0)</calculatedColumnFormula>
    </tableColumn>
    <tableColumn id="30" xr3:uid="{00000000-0010-0000-0000-00001E000000}" name="Idle MGO" dataDxfId="93" totalsRowDxfId="92">
      <calculatedColumnFormula>IF(AND(Table1[[#This Row],[Column1]]=8,Table1[[#This Row],[Column3]]=2),24,0)</calculatedColumnFormula>
    </tableColumn>
    <tableColumn id="31" xr3:uid="{00000000-0010-0000-0000-00001F000000}" name="Idle HFO" dataDxfId="91" totalsRowDxfId="90">
      <calculatedColumnFormula>IF(AND(Table1[[#This Row],[Column1]]=8,Table1[[#This Row],[Column3]]=3),25,0)</calculatedColumnFormula>
    </tableColumn>
    <tableColumn id="32" xr3:uid="{00000000-0010-0000-0000-000020000000}" name="VLOOKUP" dataDxfId="89" totalsRowDxfId="88">
      <calculatedColumnFormula>SUM(Table1[[#This Row],[Laden LNG]:[Idle HFO]])</calculatedColumnFormula>
    </tableColumn>
    <tableColumn id="33" xr3:uid="{00000000-0010-0000-0000-000021000000}" name="Cooling LNG" dataDxfId="87" totalsRowDxfId="86">
      <calculatedColumnFormula>IF(AND(Table1[[#This Row],[Reliq]]=1,Table1[[#This Row],[Column3]]=1),26,0)</calculatedColumnFormula>
    </tableColumn>
    <tableColumn id="34" xr3:uid="{00000000-0010-0000-0000-000022000000}" name="Cooling MGO" dataDxfId="85" totalsRowDxfId="84">
      <calculatedColumnFormula>IF(AND(Table1[[#This Row],[Reliq]]=1,Table1[[#This Row],[Column3]]=2),27,0)</calculatedColumnFormula>
    </tableColumn>
    <tableColumn id="35" xr3:uid="{00000000-0010-0000-0000-000023000000}" name="Cooling HFO" dataDxfId="83" totalsRowDxfId="82">
      <calculatedColumnFormula>IF(AND(Table1[[#This Row],[Reliq]]=1,Table1[[#This Row],[Column3]]=3),28,0)</calculatedColumnFormula>
    </tableColumn>
    <tableColumn id="36" xr3:uid="{00000000-0010-0000-0000-000024000000}" name="VLOOKUP2" dataDxfId="81" totalsRowDxfId="80">
      <calculatedColumnFormula>SUM(Table1[[#This Row],[Cooling LNG]:[Cooling HFO]])</calculatedColumnFormula>
    </tableColumn>
    <tableColumn id="37" xr3:uid="{00000000-0010-0000-0000-000025000000}" name="Weather Factor" dataDxfId="79" totalsRowDxfId="78">
      <calculatedColumnFormula>IF(J5=$T$5,1,IF(J5=$T$6,2,3))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Q4:BB24" totalsRowShown="0" headerRowDxfId="77" dataDxfId="76">
  <autoFilter ref="Q4:BB24" xr:uid="{00000000-0009-0000-0100-000003000000}"/>
  <tableColumns count="38">
    <tableColumn id="38" xr3:uid="{00000000-0010-0000-0100-000026000000}" name="Loaded / Ballast" dataDxfId="75" totalsRowDxfId="74"/>
    <tableColumn id="39" xr3:uid="{00000000-0010-0000-0100-000027000000}" name="Column2" dataDxfId="73" totalsRowDxfId="72">
      <calculatedColumnFormula>IF(I5=$Q$5,1,IF(I5=$Q$6,2,3))</calculatedColumnFormula>
    </tableColumn>
    <tableColumn id="1" xr3:uid="{00000000-0010-0000-0100-000001000000}" name="Activity  choose Tab" dataDxfId="71" totalsRowDxfId="70"/>
    <tableColumn id="2" xr3:uid="{00000000-0010-0000-0100-000002000000}" name="Column1" dataDxfId="69" totalsRowDxfId="68">
      <calculatedColumnFormula>IF(H5=S$5,1,IF(H5=S$6,2,IF(H5=S$7,3,IF(H5=S$8,4,IF(H5=S$9,5,IF(H5=S$10,6,IF(H5=S$11,7,IF(H5=S$12,8,9))))))))</calculatedColumnFormula>
    </tableColumn>
    <tableColumn id="4" xr3:uid="{00000000-0010-0000-0100-000004000000}" name="Reliq Plant" dataDxfId="67" totalsRowDxfId="66"/>
    <tableColumn id="5" xr3:uid="{00000000-0010-0000-0100-000005000000}" name="Reliq" dataDxfId="65" totalsRowDxfId="64">
      <calculatedColumnFormula>IF(J5=$U$5,1,IF(J5=$U$6,2,3))</calculatedColumnFormula>
    </tableColumn>
    <tableColumn id="6" xr3:uid="{00000000-0010-0000-0100-000006000000}" name="Fuel" dataDxfId="63" totalsRowDxfId="62"/>
    <tableColumn id="7" xr3:uid="{00000000-0010-0000-0100-000007000000}" name="Column3" dataDxfId="61" totalsRowDxfId="60">
      <calculatedColumnFormula>IF(L5=$W$5,1,IF(L5=$W$6,2,IF(L5=$W$7,3,4)))</calculatedColumnFormula>
    </tableColumn>
    <tableColumn id="8" xr3:uid="{00000000-0010-0000-0100-000008000000}" name="Laden LNG" dataDxfId="59" totalsRowDxfId="58">
      <calculatedColumnFormula>IF(AND(Table14[[#This Row],[Column1]]=2,Table14[[#This Row],[Column3]]=1,Table14[[#This Row],[Column2]]=1),2,0)</calculatedColumnFormula>
    </tableColumn>
    <tableColumn id="9" xr3:uid="{00000000-0010-0000-0100-000009000000}" name="Laden MGO" dataDxfId="57" totalsRowDxfId="56">
      <calculatedColumnFormula>IF(AND(Table14[[#This Row],[Column1]]=2,Table14[[#This Row],[Column3]]=2,Table14[[#This Row],[Column2]]=1),3,0)</calculatedColumnFormula>
    </tableColumn>
    <tableColumn id="10" xr3:uid="{00000000-0010-0000-0100-00000A000000}" name="Laden HFO" dataDxfId="55" totalsRowDxfId="54">
      <calculatedColumnFormula>IF(AND(Table14[[#This Row],[Column1]]=2,Table14[[#This Row],[Column3]]=3,Table14[[#This Row],[Column2]]=1),4,0)</calculatedColumnFormula>
    </tableColumn>
    <tableColumn id="11" xr3:uid="{00000000-0010-0000-0100-00000B000000}" name="Ballast LNG" dataDxfId="53" totalsRowDxfId="52">
      <calculatedColumnFormula>IF(AND(Table14[[#This Row],[Column1]]=2,Table14[[#This Row],[Column3]]=1,Table14[[#This Row],[Column2]]=2),5,0)</calculatedColumnFormula>
    </tableColumn>
    <tableColumn id="12" xr3:uid="{00000000-0010-0000-0100-00000C000000}" name="Ballast MGO" dataDxfId="51" totalsRowDxfId="50">
      <calculatedColumnFormula>IF(AND(Table14[[#This Row],[Column1]]=2,Table14[[#This Row],[Column3]]=2,Table14[[#This Row],[Column2]]=2),6,0)</calculatedColumnFormula>
    </tableColumn>
    <tableColumn id="13" xr3:uid="{00000000-0010-0000-0100-00000D000000}" name="Ballast HFO" dataDxfId="49" totalsRowDxfId="48">
      <calculatedColumnFormula>IF(AND(Table14[[#This Row],[Column1]]=2,Table14[[#This Row],[Column3]]=3,Table14[[#This Row],[Column2]]=2),7,0)</calculatedColumnFormula>
    </tableColumn>
    <tableColumn id="14" xr3:uid="{00000000-0010-0000-0100-00000E000000}" name="Loading LNG" dataDxfId="47" totalsRowDxfId="46">
      <calculatedColumnFormula>IF(AND(Table14[[#This Row],[Column1]]=3,Table14[[#This Row],[Column3]]=1),8,0)</calculatedColumnFormula>
    </tableColumn>
    <tableColumn id="15" xr3:uid="{00000000-0010-0000-0100-00000F000000}" name="Loading MGO" dataDxfId="45" totalsRowDxfId="44">
      <calculatedColumnFormula>IF(AND(Table14[[#This Row],[Column1]]=3,Table14[[#This Row],[Column3]]=2),9,0)</calculatedColumnFormula>
    </tableColumn>
    <tableColumn id="16" xr3:uid="{00000000-0010-0000-0100-000010000000}" name="Loading HFO" dataDxfId="43" totalsRowDxfId="42">
      <calculatedColumnFormula>IF(AND(Table14[[#This Row],[Column1]]=3,Table14[[#This Row],[Column3]]=3),10,0)</calculatedColumnFormula>
    </tableColumn>
    <tableColumn id="17" xr3:uid="{00000000-0010-0000-0100-000011000000}" name="Dischargong LNG" dataDxfId="41" totalsRowDxfId="40">
      <calculatedColumnFormula>IF(AND(Table14[[#This Row],[Column1]]=4,Table14[[#This Row],[Column3]]=1),11,0)</calculatedColumnFormula>
    </tableColumn>
    <tableColumn id="18" xr3:uid="{00000000-0010-0000-0100-000012000000}" name="Discharging MGO" dataDxfId="39" totalsRowDxfId="38">
      <calculatedColumnFormula>IF(AND(Table14[[#This Row],[Column1]]=4,Table14[[#This Row],[Column3]]=2),12,0)</calculatedColumnFormula>
    </tableColumn>
    <tableColumn id="19" xr3:uid="{00000000-0010-0000-0100-000013000000}" name="Discharging HFO" dataDxfId="37" totalsRowDxfId="36">
      <calculatedColumnFormula>IF(AND(Table14[[#This Row],[Column1]]=4,Table14[[#This Row],[Column3]]=3),13,0)</calculatedColumnFormula>
    </tableColumn>
    <tableColumn id="20" xr3:uid="{00000000-0010-0000-0100-000014000000}" name="Manouvering LNG" dataDxfId="35" totalsRowDxfId="34">
      <calculatedColumnFormula>IF(AND(Table14[[#This Row],[Column1]]=5,Table14[[#This Row],[Column3]]=1),14,0)</calculatedColumnFormula>
    </tableColumn>
    <tableColumn id="21" xr3:uid="{00000000-0010-0000-0100-000015000000}" name="Manouvering MGO" dataDxfId="33" totalsRowDxfId="32">
      <calculatedColumnFormula>IF(AND(Table14[[#This Row],[Column1]]=5,Table14[[#This Row],[Column3]]=2),15,0)</calculatedColumnFormula>
    </tableColumn>
    <tableColumn id="22" xr3:uid="{00000000-0010-0000-0100-000016000000}" name="Manouvering HFO" dataDxfId="31" totalsRowDxfId="30">
      <calculatedColumnFormula>IF(AND(Table14[[#This Row],[Column1]]=5,Table14[[#This Row],[Column3]]=3),16,0)</calculatedColumnFormula>
    </tableColumn>
    <tableColumn id="23" xr3:uid="{00000000-0010-0000-0100-000017000000}" name="Drifting LNG" dataDxfId="29" totalsRowDxfId="28">
      <calculatedColumnFormula>IF(AND(Table14[[#This Row],[Column1]]=6,Table14[[#This Row],[Column3]]=1),17,0)</calculatedColumnFormula>
    </tableColumn>
    <tableColumn id="24" xr3:uid="{00000000-0010-0000-0100-000018000000}" name="Drifting MGO" dataDxfId="27" totalsRowDxfId="26">
      <calculatedColumnFormula>IF(AND(Table14[[#This Row],[Column1]]=6,Table14[[#This Row],[Column3]]=2),18,0)</calculatedColumnFormula>
    </tableColumn>
    <tableColumn id="25" xr3:uid="{00000000-0010-0000-0100-000019000000}" name="Drifting HFO" dataDxfId="25" totalsRowDxfId="24">
      <calculatedColumnFormula>IF(AND(Table14[[#This Row],[Column1]]=6,Table14[[#This Row],[Column3]]=3),19,0)</calculatedColumnFormula>
    </tableColumn>
    <tableColumn id="26" xr3:uid="{00000000-0010-0000-0100-00001A000000}" name="Anchoring LNG" dataDxfId="23" totalsRowDxfId="22">
      <calculatedColumnFormula>IF(AND(Table14[[#This Row],[Column1]]=7,Table14[[#This Row],[Column3]]=1),20,0)</calculatedColumnFormula>
    </tableColumn>
    <tableColumn id="27" xr3:uid="{00000000-0010-0000-0100-00001B000000}" name="Anchoring MGO" dataDxfId="21" totalsRowDxfId="20">
      <calculatedColumnFormula>IF(AND(Table14[[#This Row],[Column1]]=7,Table14[[#This Row],[Column3]]=2),21,0)</calculatedColumnFormula>
    </tableColumn>
    <tableColumn id="28" xr3:uid="{00000000-0010-0000-0100-00001C000000}" name="Anchoring HFO" dataDxfId="19" totalsRowDxfId="18">
      <calculatedColumnFormula>IF(AND(Table14[[#This Row],[Column1]]=7,Table14[[#This Row],[Column3]]=3),22,0)</calculatedColumnFormula>
    </tableColumn>
    <tableColumn id="29" xr3:uid="{00000000-0010-0000-0100-00001D000000}" name="Idle LNG" dataDxfId="17" totalsRowDxfId="16">
      <calculatedColumnFormula>IF(AND(Table14[[#This Row],[Column1]]=8,Table14[[#This Row],[Column3]]=1),23,0)</calculatedColumnFormula>
    </tableColumn>
    <tableColumn id="30" xr3:uid="{00000000-0010-0000-0100-00001E000000}" name="Idle MGO" dataDxfId="15" totalsRowDxfId="14">
      <calculatedColumnFormula>IF(AND(Table14[[#This Row],[Column1]]=8,Table14[[#This Row],[Column3]]=2),24,0)</calculatedColumnFormula>
    </tableColumn>
    <tableColumn id="31" xr3:uid="{00000000-0010-0000-0100-00001F000000}" name="Idle HFO" dataDxfId="13" totalsRowDxfId="12">
      <calculatedColumnFormula>IF(AND(Table14[[#This Row],[Column1]]=8,Table14[[#This Row],[Column3]]=3),25,0)</calculatedColumnFormula>
    </tableColumn>
    <tableColumn id="32" xr3:uid="{00000000-0010-0000-0100-000020000000}" name="VLOOKUP" dataDxfId="11" totalsRowDxfId="10">
      <calculatedColumnFormula>SUM(Table14[[#This Row],[Laden LNG]:[Idle HFO]])</calculatedColumnFormula>
    </tableColumn>
    <tableColumn id="33" xr3:uid="{00000000-0010-0000-0100-000021000000}" name="Cooling LNG" dataDxfId="9" totalsRowDxfId="8">
      <calculatedColumnFormula>IF(AND(Table14[[#This Row],[Reliq]]=1,Table14[[#This Row],[Column3]]=1),26,0)</calculatedColumnFormula>
    </tableColumn>
    <tableColumn id="34" xr3:uid="{00000000-0010-0000-0100-000022000000}" name="Cooling MGO" dataDxfId="7" totalsRowDxfId="6">
      <calculatedColumnFormula>IF(AND(Table14[[#This Row],[Reliq]]=1,Table14[[#This Row],[Column3]]=2),27,0)</calculatedColumnFormula>
    </tableColumn>
    <tableColumn id="35" xr3:uid="{00000000-0010-0000-0100-000023000000}" name="Cooling HFO" dataDxfId="5" totalsRowDxfId="4">
      <calculatedColumnFormula>IF(AND(Table14[[#This Row],[Reliq]]=1,Table14[[#This Row],[Column3]]=3),28,0)</calculatedColumnFormula>
    </tableColumn>
    <tableColumn id="36" xr3:uid="{00000000-0010-0000-0100-000024000000}" name="VLOOKUP2" dataDxfId="3" totalsRowDxfId="2">
      <calculatedColumnFormula>SUM(Table14[[#This Row],[Cooling LNG]:[Cooling HFO]])</calculatedColumnFormula>
    </tableColumn>
    <tableColumn id="37" xr3:uid="{00000000-0010-0000-0100-000025000000}" name="Weather Factor" dataDxfId="1" totalsRowDxfId="0">
      <calculatedColumnFormula>IF(K5=$U$5,1,IF(K5=$U$6,2,3))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2382A"/>
  </sheetPr>
  <dimension ref="A1:I122"/>
  <sheetViews>
    <sheetView showGridLines="0" tabSelected="1" workbookViewId="0">
      <pane ySplit="1" topLeftCell="A2" activePane="bottomLeft" state="frozen"/>
      <selection pane="bottomLeft" activeCell="C7" sqref="C7"/>
    </sheetView>
  </sheetViews>
  <sheetFormatPr defaultColWidth="8.85546875" defaultRowHeight="20.100000000000001" customHeight="1" x14ac:dyDescent="0.2"/>
  <cols>
    <col min="1" max="1" width="35.5703125" style="1" customWidth="1"/>
    <col min="2" max="9" width="20.7109375" style="1" customWidth="1"/>
    <col min="10" max="251" width="8.85546875" style="1"/>
    <col min="252" max="252" width="11.85546875" style="1" customWidth="1"/>
    <col min="253" max="253" width="15" style="1" customWidth="1"/>
    <col min="254" max="254" width="12.85546875" style="1" customWidth="1"/>
    <col min="255" max="255" width="13.5703125" style="1" customWidth="1"/>
    <col min="256" max="256" width="14.140625" style="1" customWidth="1"/>
    <col min="257" max="257" width="12.5703125" style="1" customWidth="1"/>
    <col min="258" max="258" width="13.28515625" style="1" customWidth="1"/>
    <col min="259" max="507" width="8.85546875" style="1"/>
    <col min="508" max="508" width="11.85546875" style="1" customWidth="1"/>
    <col min="509" max="509" width="15" style="1" customWidth="1"/>
    <col min="510" max="510" width="12.85546875" style="1" customWidth="1"/>
    <col min="511" max="511" width="13.5703125" style="1" customWidth="1"/>
    <col min="512" max="512" width="14.140625" style="1" customWidth="1"/>
    <col min="513" max="513" width="12.5703125" style="1" customWidth="1"/>
    <col min="514" max="514" width="13.28515625" style="1" customWidth="1"/>
    <col min="515" max="763" width="8.85546875" style="1"/>
    <col min="764" max="764" width="11.85546875" style="1" customWidth="1"/>
    <col min="765" max="765" width="15" style="1" customWidth="1"/>
    <col min="766" max="766" width="12.85546875" style="1" customWidth="1"/>
    <col min="767" max="767" width="13.5703125" style="1" customWidth="1"/>
    <col min="768" max="768" width="14.140625" style="1" customWidth="1"/>
    <col min="769" max="769" width="12.5703125" style="1" customWidth="1"/>
    <col min="770" max="770" width="13.28515625" style="1" customWidth="1"/>
    <col min="771" max="1019" width="8.85546875" style="1"/>
    <col min="1020" max="1020" width="11.85546875" style="1" customWidth="1"/>
    <col min="1021" max="1021" width="15" style="1" customWidth="1"/>
    <col min="1022" max="1022" width="12.85546875" style="1" customWidth="1"/>
    <col min="1023" max="1023" width="13.5703125" style="1" customWidth="1"/>
    <col min="1024" max="1024" width="14.140625" style="1" customWidth="1"/>
    <col min="1025" max="1025" width="12.5703125" style="1" customWidth="1"/>
    <col min="1026" max="1026" width="13.28515625" style="1" customWidth="1"/>
    <col min="1027" max="1275" width="8.85546875" style="1"/>
    <col min="1276" max="1276" width="11.85546875" style="1" customWidth="1"/>
    <col min="1277" max="1277" width="15" style="1" customWidth="1"/>
    <col min="1278" max="1278" width="12.85546875" style="1" customWidth="1"/>
    <col min="1279" max="1279" width="13.5703125" style="1" customWidth="1"/>
    <col min="1280" max="1280" width="14.140625" style="1" customWidth="1"/>
    <col min="1281" max="1281" width="12.5703125" style="1" customWidth="1"/>
    <col min="1282" max="1282" width="13.28515625" style="1" customWidth="1"/>
    <col min="1283" max="1531" width="8.85546875" style="1"/>
    <col min="1532" max="1532" width="11.85546875" style="1" customWidth="1"/>
    <col min="1533" max="1533" width="15" style="1" customWidth="1"/>
    <col min="1534" max="1534" width="12.85546875" style="1" customWidth="1"/>
    <col min="1535" max="1535" width="13.5703125" style="1" customWidth="1"/>
    <col min="1536" max="1536" width="14.140625" style="1" customWidth="1"/>
    <col min="1537" max="1537" width="12.5703125" style="1" customWidth="1"/>
    <col min="1538" max="1538" width="13.28515625" style="1" customWidth="1"/>
    <col min="1539" max="1787" width="8.85546875" style="1"/>
    <col min="1788" max="1788" width="11.85546875" style="1" customWidth="1"/>
    <col min="1789" max="1789" width="15" style="1" customWidth="1"/>
    <col min="1790" max="1790" width="12.85546875" style="1" customWidth="1"/>
    <col min="1791" max="1791" width="13.5703125" style="1" customWidth="1"/>
    <col min="1792" max="1792" width="14.140625" style="1" customWidth="1"/>
    <col min="1793" max="1793" width="12.5703125" style="1" customWidth="1"/>
    <col min="1794" max="1794" width="13.28515625" style="1" customWidth="1"/>
    <col min="1795" max="2043" width="8.85546875" style="1"/>
    <col min="2044" max="2044" width="11.85546875" style="1" customWidth="1"/>
    <col min="2045" max="2045" width="15" style="1" customWidth="1"/>
    <col min="2046" max="2046" width="12.85546875" style="1" customWidth="1"/>
    <col min="2047" max="2047" width="13.5703125" style="1" customWidth="1"/>
    <col min="2048" max="2048" width="14.140625" style="1" customWidth="1"/>
    <col min="2049" max="2049" width="12.5703125" style="1" customWidth="1"/>
    <col min="2050" max="2050" width="13.28515625" style="1" customWidth="1"/>
    <col min="2051" max="2299" width="8.85546875" style="1"/>
    <col min="2300" max="2300" width="11.85546875" style="1" customWidth="1"/>
    <col min="2301" max="2301" width="15" style="1" customWidth="1"/>
    <col min="2302" max="2302" width="12.85546875" style="1" customWidth="1"/>
    <col min="2303" max="2303" width="13.5703125" style="1" customWidth="1"/>
    <col min="2304" max="2304" width="14.140625" style="1" customWidth="1"/>
    <col min="2305" max="2305" width="12.5703125" style="1" customWidth="1"/>
    <col min="2306" max="2306" width="13.28515625" style="1" customWidth="1"/>
    <col min="2307" max="2555" width="8.85546875" style="1"/>
    <col min="2556" max="2556" width="11.85546875" style="1" customWidth="1"/>
    <col min="2557" max="2557" width="15" style="1" customWidth="1"/>
    <col min="2558" max="2558" width="12.85546875" style="1" customWidth="1"/>
    <col min="2559" max="2559" width="13.5703125" style="1" customWidth="1"/>
    <col min="2560" max="2560" width="14.140625" style="1" customWidth="1"/>
    <col min="2561" max="2561" width="12.5703125" style="1" customWidth="1"/>
    <col min="2562" max="2562" width="13.28515625" style="1" customWidth="1"/>
    <col min="2563" max="2811" width="8.85546875" style="1"/>
    <col min="2812" max="2812" width="11.85546875" style="1" customWidth="1"/>
    <col min="2813" max="2813" width="15" style="1" customWidth="1"/>
    <col min="2814" max="2814" width="12.85546875" style="1" customWidth="1"/>
    <col min="2815" max="2815" width="13.5703125" style="1" customWidth="1"/>
    <col min="2816" max="2816" width="14.140625" style="1" customWidth="1"/>
    <col min="2817" max="2817" width="12.5703125" style="1" customWidth="1"/>
    <col min="2818" max="2818" width="13.28515625" style="1" customWidth="1"/>
    <col min="2819" max="3067" width="8.85546875" style="1"/>
    <col min="3068" max="3068" width="11.85546875" style="1" customWidth="1"/>
    <col min="3069" max="3069" width="15" style="1" customWidth="1"/>
    <col min="3070" max="3070" width="12.85546875" style="1" customWidth="1"/>
    <col min="3071" max="3071" width="13.5703125" style="1" customWidth="1"/>
    <col min="3072" max="3072" width="14.140625" style="1" customWidth="1"/>
    <col min="3073" max="3073" width="12.5703125" style="1" customWidth="1"/>
    <col min="3074" max="3074" width="13.28515625" style="1" customWidth="1"/>
    <col min="3075" max="3323" width="8.85546875" style="1"/>
    <col min="3324" max="3324" width="11.85546875" style="1" customWidth="1"/>
    <col min="3325" max="3325" width="15" style="1" customWidth="1"/>
    <col min="3326" max="3326" width="12.85546875" style="1" customWidth="1"/>
    <col min="3327" max="3327" width="13.5703125" style="1" customWidth="1"/>
    <col min="3328" max="3328" width="14.140625" style="1" customWidth="1"/>
    <col min="3329" max="3329" width="12.5703125" style="1" customWidth="1"/>
    <col min="3330" max="3330" width="13.28515625" style="1" customWidth="1"/>
    <col min="3331" max="3579" width="8.85546875" style="1"/>
    <col min="3580" max="3580" width="11.85546875" style="1" customWidth="1"/>
    <col min="3581" max="3581" width="15" style="1" customWidth="1"/>
    <col min="3582" max="3582" width="12.85546875" style="1" customWidth="1"/>
    <col min="3583" max="3583" width="13.5703125" style="1" customWidth="1"/>
    <col min="3584" max="3584" width="14.140625" style="1" customWidth="1"/>
    <col min="3585" max="3585" width="12.5703125" style="1" customWidth="1"/>
    <col min="3586" max="3586" width="13.28515625" style="1" customWidth="1"/>
    <col min="3587" max="3835" width="8.85546875" style="1"/>
    <col min="3836" max="3836" width="11.85546875" style="1" customWidth="1"/>
    <col min="3837" max="3837" width="15" style="1" customWidth="1"/>
    <col min="3838" max="3838" width="12.85546875" style="1" customWidth="1"/>
    <col min="3839" max="3839" width="13.5703125" style="1" customWidth="1"/>
    <col min="3840" max="3840" width="14.140625" style="1" customWidth="1"/>
    <col min="3841" max="3841" width="12.5703125" style="1" customWidth="1"/>
    <col min="3842" max="3842" width="13.28515625" style="1" customWidth="1"/>
    <col min="3843" max="4091" width="8.85546875" style="1"/>
    <col min="4092" max="4092" width="11.85546875" style="1" customWidth="1"/>
    <col min="4093" max="4093" width="15" style="1" customWidth="1"/>
    <col min="4094" max="4094" width="12.85546875" style="1" customWidth="1"/>
    <col min="4095" max="4095" width="13.5703125" style="1" customWidth="1"/>
    <col min="4096" max="4096" width="14.140625" style="1" customWidth="1"/>
    <col min="4097" max="4097" width="12.5703125" style="1" customWidth="1"/>
    <col min="4098" max="4098" width="13.28515625" style="1" customWidth="1"/>
    <col min="4099" max="4347" width="8.85546875" style="1"/>
    <col min="4348" max="4348" width="11.85546875" style="1" customWidth="1"/>
    <col min="4349" max="4349" width="15" style="1" customWidth="1"/>
    <col min="4350" max="4350" width="12.85546875" style="1" customWidth="1"/>
    <col min="4351" max="4351" width="13.5703125" style="1" customWidth="1"/>
    <col min="4352" max="4352" width="14.140625" style="1" customWidth="1"/>
    <col min="4353" max="4353" width="12.5703125" style="1" customWidth="1"/>
    <col min="4354" max="4354" width="13.28515625" style="1" customWidth="1"/>
    <col min="4355" max="4603" width="8.85546875" style="1"/>
    <col min="4604" max="4604" width="11.85546875" style="1" customWidth="1"/>
    <col min="4605" max="4605" width="15" style="1" customWidth="1"/>
    <col min="4606" max="4606" width="12.85546875" style="1" customWidth="1"/>
    <col min="4607" max="4607" width="13.5703125" style="1" customWidth="1"/>
    <col min="4608" max="4608" width="14.140625" style="1" customWidth="1"/>
    <col min="4609" max="4609" width="12.5703125" style="1" customWidth="1"/>
    <col min="4610" max="4610" width="13.28515625" style="1" customWidth="1"/>
    <col min="4611" max="4859" width="8.85546875" style="1"/>
    <col min="4860" max="4860" width="11.85546875" style="1" customWidth="1"/>
    <col min="4861" max="4861" width="15" style="1" customWidth="1"/>
    <col min="4862" max="4862" width="12.85546875" style="1" customWidth="1"/>
    <col min="4863" max="4863" width="13.5703125" style="1" customWidth="1"/>
    <col min="4864" max="4864" width="14.140625" style="1" customWidth="1"/>
    <col min="4865" max="4865" width="12.5703125" style="1" customWidth="1"/>
    <col min="4866" max="4866" width="13.28515625" style="1" customWidth="1"/>
    <col min="4867" max="5115" width="8.85546875" style="1"/>
    <col min="5116" max="5116" width="11.85546875" style="1" customWidth="1"/>
    <col min="5117" max="5117" width="15" style="1" customWidth="1"/>
    <col min="5118" max="5118" width="12.85546875" style="1" customWidth="1"/>
    <col min="5119" max="5119" width="13.5703125" style="1" customWidth="1"/>
    <col min="5120" max="5120" width="14.140625" style="1" customWidth="1"/>
    <col min="5121" max="5121" width="12.5703125" style="1" customWidth="1"/>
    <col min="5122" max="5122" width="13.28515625" style="1" customWidth="1"/>
    <col min="5123" max="5371" width="8.85546875" style="1"/>
    <col min="5372" max="5372" width="11.85546875" style="1" customWidth="1"/>
    <col min="5373" max="5373" width="15" style="1" customWidth="1"/>
    <col min="5374" max="5374" width="12.85546875" style="1" customWidth="1"/>
    <col min="5375" max="5375" width="13.5703125" style="1" customWidth="1"/>
    <col min="5376" max="5376" width="14.140625" style="1" customWidth="1"/>
    <col min="5377" max="5377" width="12.5703125" style="1" customWidth="1"/>
    <col min="5378" max="5378" width="13.28515625" style="1" customWidth="1"/>
    <col min="5379" max="5627" width="8.85546875" style="1"/>
    <col min="5628" max="5628" width="11.85546875" style="1" customWidth="1"/>
    <col min="5629" max="5629" width="15" style="1" customWidth="1"/>
    <col min="5630" max="5630" width="12.85546875" style="1" customWidth="1"/>
    <col min="5631" max="5631" width="13.5703125" style="1" customWidth="1"/>
    <col min="5632" max="5632" width="14.140625" style="1" customWidth="1"/>
    <col min="5633" max="5633" width="12.5703125" style="1" customWidth="1"/>
    <col min="5634" max="5634" width="13.28515625" style="1" customWidth="1"/>
    <col min="5635" max="5883" width="8.85546875" style="1"/>
    <col min="5884" max="5884" width="11.85546875" style="1" customWidth="1"/>
    <col min="5885" max="5885" width="15" style="1" customWidth="1"/>
    <col min="5886" max="5886" width="12.85546875" style="1" customWidth="1"/>
    <col min="5887" max="5887" width="13.5703125" style="1" customWidth="1"/>
    <col min="5888" max="5888" width="14.140625" style="1" customWidth="1"/>
    <col min="5889" max="5889" width="12.5703125" style="1" customWidth="1"/>
    <col min="5890" max="5890" width="13.28515625" style="1" customWidth="1"/>
    <col min="5891" max="6139" width="8.85546875" style="1"/>
    <col min="6140" max="6140" width="11.85546875" style="1" customWidth="1"/>
    <col min="6141" max="6141" width="15" style="1" customWidth="1"/>
    <col min="6142" max="6142" width="12.85546875" style="1" customWidth="1"/>
    <col min="6143" max="6143" width="13.5703125" style="1" customWidth="1"/>
    <col min="6144" max="6144" width="14.140625" style="1" customWidth="1"/>
    <col min="6145" max="6145" width="12.5703125" style="1" customWidth="1"/>
    <col min="6146" max="6146" width="13.28515625" style="1" customWidth="1"/>
    <col min="6147" max="6395" width="8.85546875" style="1"/>
    <col min="6396" max="6396" width="11.85546875" style="1" customWidth="1"/>
    <col min="6397" max="6397" width="15" style="1" customWidth="1"/>
    <col min="6398" max="6398" width="12.85546875" style="1" customWidth="1"/>
    <col min="6399" max="6399" width="13.5703125" style="1" customWidth="1"/>
    <col min="6400" max="6400" width="14.140625" style="1" customWidth="1"/>
    <col min="6401" max="6401" width="12.5703125" style="1" customWidth="1"/>
    <col min="6402" max="6402" width="13.28515625" style="1" customWidth="1"/>
    <col min="6403" max="6651" width="8.85546875" style="1"/>
    <col min="6652" max="6652" width="11.85546875" style="1" customWidth="1"/>
    <col min="6653" max="6653" width="15" style="1" customWidth="1"/>
    <col min="6654" max="6654" width="12.85546875" style="1" customWidth="1"/>
    <col min="6655" max="6655" width="13.5703125" style="1" customWidth="1"/>
    <col min="6656" max="6656" width="14.140625" style="1" customWidth="1"/>
    <col min="6657" max="6657" width="12.5703125" style="1" customWidth="1"/>
    <col min="6658" max="6658" width="13.28515625" style="1" customWidth="1"/>
    <col min="6659" max="6907" width="8.85546875" style="1"/>
    <col min="6908" max="6908" width="11.85546875" style="1" customWidth="1"/>
    <col min="6909" max="6909" width="15" style="1" customWidth="1"/>
    <col min="6910" max="6910" width="12.85546875" style="1" customWidth="1"/>
    <col min="6911" max="6911" width="13.5703125" style="1" customWidth="1"/>
    <col min="6912" max="6912" width="14.140625" style="1" customWidth="1"/>
    <col min="6913" max="6913" width="12.5703125" style="1" customWidth="1"/>
    <col min="6914" max="6914" width="13.28515625" style="1" customWidth="1"/>
    <col min="6915" max="7163" width="8.85546875" style="1"/>
    <col min="7164" max="7164" width="11.85546875" style="1" customWidth="1"/>
    <col min="7165" max="7165" width="15" style="1" customWidth="1"/>
    <col min="7166" max="7166" width="12.85546875" style="1" customWidth="1"/>
    <col min="7167" max="7167" width="13.5703125" style="1" customWidth="1"/>
    <col min="7168" max="7168" width="14.140625" style="1" customWidth="1"/>
    <col min="7169" max="7169" width="12.5703125" style="1" customWidth="1"/>
    <col min="7170" max="7170" width="13.28515625" style="1" customWidth="1"/>
    <col min="7171" max="7419" width="8.85546875" style="1"/>
    <col min="7420" max="7420" width="11.85546875" style="1" customWidth="1"/>
    <col min="7421" max="7421" width="15" style="1" customWidth="1"/>
    <col min="7422" max="7422" width="12.85546875" style="1" customWidth="1"/>
    <col min="7423" max="7423" width="13.5703125" style="1" customWidth="1"/>
    <col min="7424" max="7424" width="14.140625" style="1" customWidth="1"/>
    <col min="7425" max="7425" width="12.5703125" style="1" customWidth="1"/>
    <col min="7426" max="7426" width="13.28515625" style="1" customWidth="1"/>
    <col min="7427" max="7675" width="8.85546875" style="1"/>
    <col min="7676" max="7676" width="11.85546875" style="1" customWidth="1"/>
    <col min="7677" max="7677" width="15" style="1" customWidth="1"/>
    <col min="7678" max="7678" width="12.85546875" style="1" customWidth="1"/>
    <col min="7679" max="7679" width="13.5703125" style="1" customWidth="1"/>
    <col min="7680" max="7680" width="14.140625" style="1" customWidth="1"/>
    <col min="7681" max="7681" width="12.5703125" style="1" customWidth="1"/>
    <col min="7682" max="7682" width="13.28515625" style="1" customWidth="1"/>
    <col min="7683" max="7931" width="8.85546875" style="1"/>
    <col min="7932" max="7932" width="11.85546875" style="1" customWidth="1"/>
    <col min="7933" max="7933" width="15" style="1" customWidth="1"/>
    <col min="7934" max="7934" width="12.85546875" style="1" customWidth="1"/>
    <col min="7935" max="7935" width="13.5703125" style="1" customWidth="1"/>
    <col min="7936" max="7936" width="14.140625" style="1" customWidth="1"/>
    <col min="7937" max="7937" width="12.5703125" style="1" customWidth="1"/>
    <col min="7938" max="7938" width="13.28515625" style="1" customWidth="1"/>
    <col min="7939" max="8187" width="8.85546875" style="1"/>
    <col min="8188" max="8188" width="11.85546875" style="1" customWidth="1"/>
    <col min="8189" max="8189" width="15" style="1" customWidth="1"/>
    <col min="8190" max="8190" width="12.85546875" style="1" customWidth="1"/>
    <col min="8191" max="8191" width="13.5703125" style="1" customWidth="1"/>
    <col min="8192" max="8192" width="14.140625" style="1" customWidth="1"/>
    <col min="8193" max="8193" width="12.5703125" style="1" customWidth="1"/>
    <col min="8194" max="8194" width="13.28515625" style="1" customWidth="1"/>
    <col min="8195" max="8443" width="8.85546875" style="1"/>
    <col min="8444" max="8444" width="11.85546875" style="1" customWidth="1"/>
    <col min="8445" max="8445" width="15" style="1" customWidth="1"/>
    <col min="8446" max="8446" width="12.85546875" style="1" customWidth="1"/>
    <col min="8447" max="8447" width="13.5703125" style="1" customWidth="1"/>
    <col min="8448" max="8448" width="14.140625" style="1" customWidth="1"/>
    <col min="8449" max="8449" width="12.5703125" style="1" customWidth="1"/>
    <col min="8450" max="8450" width="13.28515625" style="1" customWidth="1"/>
    <col min="8451" max="8699" width="8.85546875" style="1"/>
    <col min="8700" max="8700" width="11.85546875" style="1" customWidth="1"/>
    <col min="8701" max="8701" width="15" style="1" customWidth="1"/>
    <col min="8702" max="8702" width="12.85546875" style="1" customWidth="1"/>
    <col min="8703" max="8703" width="13.5703125" style="1" customWidth="1"/>
    <col min="8704" max="8704" width="14.140625" style="1" customWidth="1"/>
    <col min="8705" max="8705" width="12.5703125" style="1" customWidth="1"/>
    <col min="8706" max="8706" width="13.28515625" style="1" customWidth="1"/>
    <col min="8707" max="8955" width="8.85546875" style="1"/>
    <col min="8956" max="8956" width="11.85546875" style="1" customWidth="1"/>
    <col min="8957" max="8957" width="15" style="1" customWidth="1"/>
    <col min="8958" max="8958" width="12.85546875" style="1" customWidth="1"/>
    <col min="8959" max="8959" width="13.5703125" style="1" customWidth="1"/>
    <col min="8960" max="8960" width="14.140625" style="1" customWidth="1"/>
    <col min="8961" max="8961" width="12.5703125" style="1" customWidth="1"/>
    <col min="8962" max="8962" width="13.28515625" style="1" customWidth="1"/>
    <col min="8963" max="9211" width="8.85546875" style="1"/>
    <col min="9212" max="9212" width="11.85546875" style="1" customWidth="1"/>
    <col min="9213" max="9213" width="15" style="1" customWidth="1"/>
    <col min="9214" max="9214" width="12.85546875" style="1" customWidth="1"/>
    <col min="9215" max="9215" width="13.5703125" style="1" customWidth="1"/>
    <col min="9216" max="9216" width="14.140625" style="1" customWidth="1"/>
    <col min="9217" max="9217" width="12.5703125" style="1" customWidth="1"/>
    <col min="9218" max="9218" width="13.28515625" style="1" customWidth="1"/>
    <col min="9219" max="9467" width="8.85546875" style="1"/>
    <col min="9468" max="9468" width="11.85546875" style="1" customWidth="1"/>
    <col min="9469" max="9469" width="15" style="1" customWidth="1"/>
    <col min="9470" max="9470" width="12.85546875" style="1" customWidth="1"/>
    <col min="9471" max="9471" width="13.5703125" style="1" customWidth="1"/>
    <col min="9472" max="9472" width="14.140625" style="1" customWidth="1"/>
    <col min="9473" max="9473" width="12.5703125" style="1" customWidth="1"/>
    <col min="9474" max="9474" width="13.28515625" style="1" customWidth="1"/>
    <col min="9475" max="9723" width="8.85546875" style="1"/>
    <col min="9724" max="9724" width="11.85546875" style="1" customWidth="1"/>
    <col min="9725" max="9725" width="15" style="1" customWidth="1"/>
    <col min="9726" max="9726" width="12.85546875" style="1" customWidth="1"/>
    <col min="9727" max="9727" width="13.5703125" style="1" customWidth="1"/>
    <col min="9728" max="9728" width="14.140625" style="1" customWidth="1"/>
    <col min="9729" max="9729" width="12.5703125" style="1" customWidth="1"/>
    <col min="9730" max="9730" width="13.28515625" style="1" customWidth="1"/>
    <col min="9731" max="9979" width="8.85546875" style="1"/>
    <col min="9980" max="9980" width="11.85546875" style="1" customWidth="1"/>
    <col min="9981" max="9981" width="15" style="1" customWidth="1"/>
    <col min="9982" max="9982" width="12.85546875" style="1" customWidth="1"/>
    <col min="9983" max="9983" width="13.5703125" style="1" customWidth="1"/>
    <col min="9984" max="9984" width="14.140625" style="1" customWidth="1"/>
    <col min="9985" max="9985" width="12.5703125" style="1" customWidth="1"/>
    <col min="9986" max="9986" width="13.28515625" style="1" customWidth="1"/>
    <col min="9987" max="10235" width="8.85546875" style="1"/>
    <col min="10236" max="10236" width="11.85546875" style="1" customWidth="1"/>
    <col min="10237" max="10237" width="15" style="1" customWidth="1"/>
    <col min="10238" max="10238" width="12.85546875" style="1" customWidth="1"/>
    <col min="10239" max="10239" width="13.5703125" style="1" customWidth="1"/>
    <col min="10240" max="10240" width="14.140625" style="1" customWidth="1"/>
    <col min="10241" max="10241" width="12.5703125" style="1" customWidth="1"/>
    <col min="10242" max="10242" width="13.28515625" style="1" customWidth="1"/>
    <col min="10243" max="10491" width="8.85546875" style="1"/>
    <col min="10492" max="10492" width="11.85546875" style="1" customWidth="1"/>
    <col min="10493" max="10493" width="15" style="1" customWidth="1"/>
    <col min="10494" max="10494" width="12.85546875" style="1" customWidth="1"/>
    <col min="10495" max="10495" width="13.5703125" style="1" customWidth="1"/>
    <col min="10496" max="10496" width="14.140625" style="1" customWidth="1"/>
    <col min="10497" max="10497" width="12.5703125" style="1" customWidth="1"/>
    <col min="10498" max="10498" width="13.28515625" style="1" customWidth="1"/>
    <col min="10499" max="10747" width="8.85546875" style="1"/>
    <col min="10748" max="10748" width="11.85546875" style="1" customWidth="1"/>
    <col min="10749" max="10749" width="15" style="1" customWidth="1"/>
    <col min="10750" max="10750" width="12.85546875" style="1" customWidth="1"/>
    <col min="10751" max="10751" width="13.5703125" style="1" customWidth="1"/>
    <col min="10752" max="10752" width="14.140625" style="1" customWidth="1"/>
    <col min="10753" max="10753" width="12.5703125" style="1" customWidth="1"/>
    <col min="10754" max="10754" width="13.28515625" style="1" customWidth="1"/>
    <col min="10755" max="11003" width="8.85546875" style="1"/>
    <col min="11004" max="11004" width="11.85546875" style="1" customWidth="1"/>
    <col min="11005" max="11005" width="15" style="1" customWidth="1"/>
    <col min="11006" max="11006" width="12.85546875" style="1" customWidth="1"/>
    <col min="11007" max="11007" width="13.5703125" style="1" customWidth="1"/>
    <col min="11008" max="11008" width="14.140625" style="1" customWidth="1"/>
    <col min="11009" max="11009" width="12.5703125" style="1" customWidth="1"/>
    <col min="11010" max="11010" width="13.28515625" style="1" customWidth="1"/>
    <col min="11011" max="11259" width="8.85546875" style="1"/>
    <col min="11260" max="11260" width="11.85546875" style="1" customWidth="1"/>
    <col min="11261" max="11261" width="15" style="1" customWidth="1"/>
    <col min="11262" max="11262" width="12.85546875" style="1" customWidth="1"/>
    <col min="11263" max="11263" width="13.5703125" style="1" customWidth="1"/>
    <col min="11264" max="11264" width="14.140625" style="1" customWidth="1"/>
    <col min="11265" max="11265" width="12.5703125" style="1" customWidth="1"/>
    <col min="11266" max="11266" width="13.28515625" style="1" customWidth="1"/>
    <col min="11267" max="11515" width="8.85546875" style="1"/>
    <col min="11516" max="11516" width="11.85546875" style="1" customWidth="1"/>
    <col min="11517" max="11517" width="15" style="1" customWidth="1"/>
    <col min="11518" max="11518" width="12.85546875" style="1" customWidth="1"/>
    <col min="11519" max="11519" width="13.5703125" style="1" customWidth="1"/>
    <col min="11520" max="11520" width="14.140625" style="1" customWidth="1"/>
    <col min="11521" max="11521" width="12.5703125" style="1" customWidth="1"/>
    <col min="11522" max="11522" width="13.28515625" style="1" customWidth="1"/>
    <col min="11523" max="11771" width="8.85546875" style="1"/>
    <col min="11772" max="11772" width="11.85546875" style="1" customWidth="1"/>
    <col min="11773" max="11773" width="15" style="1" customWidth="1"/>
    <col min="11774" max="11774" width="12.85546875" style="1" customWidth="1"/>
    <col min="11775" max="11775" width="13.5703125" style="1" customWidth="1"/>
    <col min="11776" max="11776" width="14.140625" style="1" customWidth="1"/>
    <col min="11777" max="11777" width="12.5703125" style="1" customWidth="1"/>
    <col min="11778" max="11778" width="13.28515625" style="1" customWidth="1"/>
    <col min="11779" max="12027" width="8.85546875" style="1"/>
    <col min="12028" max="12028" width="11.85546875" style="1" customWidth="1"/>
    <col min="12029" max="12029" width="15" style="1" customWidth="1"/>
    <col min="12030" max="12030" width="12.85546875" style="1" customWidth="1"/>
    <col min="12031" max="12031" width="13.5703125" style="1" customWidth="1"/>
    <col min="12032" max="12032" width="14.140625" style="1" customWidth="1"/>
    <col min="12033" max="12033" width="12.5703125" style="1" customWidth="1"/>
    <col min="12034" max="12034" width="13.28515625" style="1" customWidth="1"/>
    <col min="12035" max="12283" width="8.85546875" style="1"/>
    <col min="12284" max="12284" width="11.85546875" style="1" customWidth="1"/>
    <col min="12285" max="12285" width="15" style="1" customWidth="1"/>
    <col min="12286" max="12286" width="12.85546875" style="1" customWidth="1"/>
    <col min="12287" max="12287" width="13.5703125" style="1" customWidth="1"/>
    <col min="12288" max="12288" width="14.140625" style="1" customWidth="1"/>
    <col min="12289" max="12289" width="12.5703125" style="1" customWidth="1"/>
    <col min="12290" max="12290" width="13.28515625" style="1" customWidth="1"/>
    <col min="12291" max="12539" width="8.85546875" style="1"/>
    <col min="12540" max="12540" width="11.85546875" style="1" customWidth="1"/>
    <col min="12541" max="12541" width="15" style="1" customWidth="1"/>
    <col min="12542" max="12542" width="12.85546875" style="1" customWidth="1"/>
    <col min="12543" max="12543" width="13.5703125" style="1" customWidth="1"/>
    <col min="12544" max="12544" width="14.140625" style="1" customWidth="1"/>
    <col min="12545" max="12545" width="12.5703125" style="1" customWidth="1"/>
    <col min="12546" max="12546" width="13.28515625" style="1" customWidth="1"/>
    <col min="12547" max="12795" width="8.85546875" style="1"/>
    <col min="12796" max="12796" width="11.85546875" style="1" customWidth="1"/>
    <col min="12797" max="12797" width="15" style="1" customWidth="1"/>
    <col min="12798" max="12798" width="12.85546875" style="1" customWidth="1"/>
    <col min="12799" max="12799" width="13.5703125" style="1" customWidth="1"/>
    <col min="12800" max="12800" width="14.140625" style="1" customWidth="1"/>
    <col min="12801" max="12801" width="12.5703125" style="1" customWidth="1"/>
    <col min="12802" max="12802" width="13.28515625" style="1" customWidth="1"/>
    <col min="12803" max="13051" width="8.85546875" style="1"/>
    <col min="13052" max="13052" width="11.85546875" style="1" customWidth="1"/>
    <col min="13053" max="13053" width="15" style="1" customWidth="1"/>
    <col min="13054" max="13054" width="12.85546875" style="1" customWidth="1"/>
    <col min="13055" max="13055" width="13.5703125" style="1" customWidth="1"/>
    <col min="13056" max="13056" width="14.140625" style="1" customWidth="1"/>
    <col min="13057" max="13057" width="12.5703125" style="1" customWidth="1"/>
    <col min="13058" max="13058" width="13.28515625" style="1" customWidth="1"/>
    <col min="13059" max="13307" width="8.85546875" style="1"/>
    <col min="13308" max="13308" width="11.85546875" style="1" customWidth="1"/>
    <col min="13309" max="13309" width="15" style="1" customWidth="1"/>
    <col min="13310" max="13310" width="12.85546875" style="1" customWidth="1"/>
    <col min="13311" max="13311" width="13.5703125" style="1" customWidth="1"/>
    <col min="13312" max="13312" width="14.140625" style="1" customWidth="1"/>
    <col min="13313" max="13313" width="12.5703125" style="1" customWidth="1"/>
    <col min="13314" max="13314" width="13.28515625" style="1" customWidth="1"/>
    <col min="13315" max="13563" width="8.85546875" style="1"/>
    <col min="13564" max="13564" width="11.85546875" style="1" customWidth="1"/>
    <col min="13565" max="13565" width="15" style="1" customWidth="1"/>
    <col min="13566" max="13566" width="12.85546875" style="1" customWidth="1"/>
    <col min="13567" max="13567" width="13.5703125" style="1" customWidth="1"/>
    <col min="13568" max="13568" width="14.140625" style="1" customWidth="1"/>
    <col min="13569" max="13569" width="12.5703125" style="1" customWidth="1"/>
    <col min="13570" max="13570" width="13.28515625" style="1" customWidth="1"/>
    <col min="13571" max="13819" width="8.85546875" style="1"/>
    <col min="13820" max="13820" width="11.85546875" style="1" customWidth="1"/>
    <col min="13821" max="13821" width="15" style="1" customWidth="1"/>
    <col min="13822" max="13822" width="12.85546875" style="1" customWidth="1"/>
    <col min="13823" max="13823" width="13.5703125" style="1" customWidth="1"/>
    <col min="13824" max="13824" width="14.140625" style="1" customWidth="1"/>
    <col min="13825" max="13825" width="12.5703125" style="1" customWidth="1"/>
    <col min="13826" max="13826" width="13.28515625" style="1" customWidth="1"/>
    <col min="13827" max="14075" width="8.85546875" style="1"/>
    <col min="14076" max="14076" width="11.85546875" style="1" customWidth="1"/>
    <col min="14077" max="14077" width="15" style="1" customWidth="1"/>
    <col min="14078" max="14078" width="12.85546875" style="1" customWidth="1"/>
    <col min="14079" max="14079" width="13.5703125" style="1" customWidth="1"/>
    <col min="14080" max="14080" width="14.140625" style="1" customWidth="1"/>
    <col min="14081" max="14081" width="12.5703125" style="1" customWidth="1"/>
    <col min="14082" max="14082" width="13.28515625" style="1" customWidth="1"/>
    <col min="14083" max="14331" width="8.85546875" style="1"/>
    <col min="14332" max="14332" width="11.85546875" style="1" customWidth="1"/>
    <col min="14333" max="14333" width="15" style="1" customWidth="1"/>
    <col min="14334" max="14334" width="12.85546875" style="1" customWidth="1"/>
    <col min="14335" max="14335" width="13.5703125" style="1" customWidth="1"/>
    <col min="14336" max="14336" width="14.140625" style="1" customWidth="1"/>
    <col min="14337" max="14337" width="12.5703125" style="1" customWidth="1"/>
    <col min="14338" max="14338" width="13.28515625" style="1" customWidth="1"/>
    <col min="14339" max="14587" width="8.85546875" style="1"/>
    <col min="14588" max="14588" width="11.85546875" style="1" customWidth="1"/>
    <col min="14589" max="14589" width="15" style="1" customWidth="1"/>
    <col min="14590" max="14590" width="12.85546875" style="1" customWidth="1"/>
    <col min="14591" max="14591" width="13.5703125" style="1" customWidth="1"/>
    <col min="14592" max="14592" width="14.140625" style="1" customWidth="1"/>
    <col min="14593" max="14593" width="12.5703125" style="1" customWidth="1"/>
    <col min="14594" max="14594" width="13.28515625" style="1" customWidth="1"/>
    <col min="14595" max="14843" width="8.85546875" style="1"/>
    <col min="14844" max="14844" width="11.85546875" style="1" customWidth="1"/>
    <col min="14845" max="14845" width="15" style="1" customWidth="1"/>
    <col min="14846" max="14846" width="12.85546875" style="1" customWidth="1"/>
    <col min="14847" max="14847" width="13.5703125" style="1" customWidth="1"/>
    <col min="14848" max="14848" width="14.140625" style="1" customWidth="1"/>
    <col min="14849" max="14849" width="12.5703125" style="1" customWidth="1"/>
    <col min="14850" max="14850" width="13.28515625" style="1" customWidth="1"/>
    <col min="14851" max="15099" width="8.85546875" style="1"/>
    <col min="15100" max="15100" width="11.85546875" style="1" customWidth="1"/>
    <col min="15101" max="15101" width="15" style="1" customWidth="1"/>
    <col min="15102" max="15102" width="12.85546875" style="1" customWidth="1"/>
    <col min="15103" max="15103" width="13.5703125" style="1" customWidth="1"/>
    <col min="15104" max="15104" width="14.140625" style="1" customWidth="1"/>
    <col min="15105" max="15105" width="12.5703125" style="1" customWidth="1"/>
    <col min="15106" max="15106" width="13.28515625" style="1" customWidth="1"/>
    <col min="15107" max="15355" width="8.85546875" style="1"/>
    <col min="15356" max="15356" width="11.85546875" style="1" customWidth="1"/>
    <col min="15357" max="15357" width="15" style="1" customWidth="1"/>
    <col min="15358" max="15358" width="12.85546875" style="1" customWidth="1"/>
    <col min="15359" max="15359" width="13.5703125" style="1" customWidth="1"/>
    <col min="15360" max="15360" width="14.140625" style="1" customWidth="1"/>
    <col min="15361" max="15361" width="12.5703125" style="1" customWidth="1"/>
    <col min="15362" max="15362" width="13.28515625" style="1" customWidth="1"/>
    <col min="15363" max="15611" width="8.85546875" style="1"/>
    <col min="15612" max="15612" width="11.85546875" style="1" customWidth="1"/>
    <col min="15613" max="15613" width="15" style="1" customWidth="1"/>
    <col min="15614" max="15614" width="12.85546875" style="1" customWidth="1"/>
    <col min="15615" max="15615" width="13.5703125" style="1" customWidth="1"/>
    <col min="15616" max="15616" width="14.140625" style="1" customWidth="1"/>
    <col min="15617" max="15617" width="12.5703125" style="1" customWidth="1"/>
    <col min="15618" max="15618" width="13.28515625" style="1" customWidth="1"/>
    <col min="15619" max="15867" width="8.85546875" style="1"/>
    <col min="15868" max="15868" width="11.85546875" style="1" customWidth="1"/>
    <col min="15869" max="15869" width="15" style="1" customWidth="1"/>
    <col min="15870" max="15870" width="12.85546875" style="1" customWidth="1"/>
    <col min="15871" max="15871" width="13.5703125" style="1" customWidth="1"/>
    <col min="15872" max="15872" width="14.140625" style="1" customWidth="1"/>
    <col min="15873" max="15873" width="12.5703125" style="1" customWidth="1"/>
    <col min="15874" max="15874" width="13.28515625" style="1" customWidth="1"/>
    <col min="15875" max="16123" width="8.85546875" style="1"/>
    <col min="16124" max="16124" width="11.85546875" style="1" customWidth="1"/>
    <col min="16125" max="16125" width="15" style="1" customWidth="1"/>
    <col min="16126" max="16126" width="12.85546875" style="1" customWidth="1"/>
    <col min="16127" max="16127" width="13.5703125" style="1" customWidth="1"/>
    <col min="16128" max="16128" width="14.140625" style="1" customWidth="1"/>
    <col min="16129" max="16129" width="12.5703125" style="1" customWidth="1"/>
    <col min="16130" max="16130" width="13.28515625" style="1" customWidth="1"/>
    <col min="16131" max="16384" width="8.85546875" style="1"/>
  </cols>
  <sheetData>
    <row r="1" spans="1:5" ht="60" customHeight="1" x14ac:dyDescent="0.2">
      <c r="B1" s="13" t="s">
        <v>41</v>
      </c>
      <c r="D1" s="2"/>
      <c r="E1" s="2"/>
    </row>
    <row r="3" spans="1:5" ht="20.100000000000001" customHeight="1" thickBot="1" x14ac:dyDescent="0.35">
      <c r="A3" s="12" t="s">
        <v>7</v>
      </c>
      <c r="B3" s="3"/>
      <c r="C3" s="3"/>
      <c r="D3" s="3"/>
      <c r="E3" s="3"/>
    </row>
    <row r="4" spans="1:5" ht="20.100000000000001" customHeight="1" thickTop="1" thickBot="1" x14ac:dyDescent="0.25">
      <c r="A4" s="4" t="s">
        <v>1</v>
      </c>
      <c r="B4" s="16" t="s">
        <v>5</v>
      </c>
      <c r="C4" s="16" t="s">
        <v>6</v>
      </c>
      <c r="D4" s="16" t="s">
        <v>5</v>
      </c>
      <c r="E4" s="17" t="s">
        <v>6</v>
      </c>
    </row>
    <row r="5" spans="1:5" ht="20.100000000000001" customHeight="1" thickTop="1" x14ac:dyDescent="0.2">
      <c r="A5" s="19" t="s">
        <v>42</v>
      </c>
      <c r="B5" s="193">
        <v>174310.639</v>
      </c>
      <c r="C5" s="194"/>
      <c r="D5" s="194"/>
      <c r="E5" s="195"/>
    </row>
    <row r="6" spans="1:5" ht="20.100000000000001" customHeight="1" x14ac:dyDescent="0.2">
      <c r="A6" s="19" t="s">
        <v>29</v>
      </c>
      <c r="B6" s="24">
        <v>8.5000000000000006E-2</v>
      </c>
      <c r="C6" s="24">
        <v>0.04</v>
      </c>
      <c r="D6" s="31">
        <f>B5*B6/100</f>
        <v>148.16404315000003</v>
      </c>
      <c r="E6" s="34">
        <f>B5*C6/100</f>
        <v>69.724255599999992</v>
      </c>
    </row>
    <row r="7" spans="1:5" ht="20.100000000000001" customHeight="1" x14ac:dyDescent="0.2">
      <c r="A7" s="19" t="s">
        <v>54</v>
      </c>
      <c r="B7" s="22">
        <f>D7/B5*100</f>
        <v>1.7210653447263195E-2</v>
      </c>
      <c r="C7" s="22">
        <f>E7/B5*100</f>
        <v>5.7368844824210643E-3</v>
      </c>
      <c r="D7" s="28">
        <v>30</v>
      </c>
      <c r="E7" s="29">
        <v>10</v>
      </c>
    </row>
    <row r="8" spans="1:5" ht="20.100000000000001" customHeight="1" x14ac:dyDescent="0.2">
      <c r="A8" s="19" t="s">
        <v>8</v>
      </c>
      <c r="B8" s="196">
        <v>0.48399999999999999</v>
      </c>
      <c r="C8" s="197"/>
      <c r="D8" s="197"/>
      <c r="E8" s="198"/>
    </row>
    <row r="9" spans="1:5" ht="20.100000000000001" customHeight="1" x14ac:dyDescent="0.2">
      <c r="A9" s="19" t="s">
        <v>25</v>
      </c>
      <c r="B9" s="196">
        <v>0.42699999999999999</v>
      </c>
      <c r="C9" s="197"/>
      <c r="D9" s="197"/>
      <c r="E9" s="198"/>
    </row>
    <row r="10" spans="1:5" ht="20.100000000000001" customHeight="1" x14ac:dyDescent="0.2">
      <c r="A10" s="19" t="s">
        <v>26</v>
      </c>
      <c r="B10" s="196">
        <v>0.41799999999999998</v>
      </c>
      <c r="C10" s="197"/>
      <c r="D10" s="197"/>
      <c r="E10" s="198"/>
    </row>
    <row r="11" spans="1:5" ht="20.100000000000001" customHeight="1" x14ac:dyDescent="0.2">
      <c r="A11" s="19"/>
      <c r="B11" s="199"/>
      <c r="C11" s="200"/>
      <c r="D11" s="200"/>
      <c r="E11" s="201"/>
    </row>
    <row r="12" spans="1:5" ht="20.100000000000001" customHeight="1" x14ac:dyDescent="0.2">
      <c r="A12" s="19" t="s">
        <v>9</v>
      </c>
      <c r="B12" s="188">
        <v>15</v>
      </c>
      <c r="C12" s="189"/>
      <c r="D12" s="189"/>
      <c r="E12" s="190"/>
    </row>
    <row r="13" spans="1:5" ht="20.100000000000001" customHeight="1" x14ac:dyDescent="0.2">
      <c r="A13" s="19" t="s">
        <v>10</v>
      </c>
      <c r="B13" s="188">
        <v>15</v>
      </c>
      <c r="C13" s="189"/>
      <c r="D13" s="189"/>
      <c r="E13" s="190"/>
    </row>
    <row r="14" spans="1:5" ht="20.100000000000001" customHeight="1" x14ac:dyDescent="0.2">
      <c r="A14" s="19" t="s">
        <v>11</v>
      </c>
      <c r="B14" s="188">
        <v>27</v>
      </c>
      <c r="C14" s="189"/>
      <c r="D14" s="189"/>
      <c r="E14" s="190"/>
    </row>
    <row r="15" spans="1:5" ht="20.100000000000001" customHeight="1" x14ac:dyDescent="0.2">
      <c r="A15" s="19" t="s">
        <v>12</v>
      </c>
      <c r="B15" s="188">
        <v>44</v>
      </c>
      <c r="C15" s="189"/>
      <c r="D15" s="189"/>
      <c r="E15" s="190"/>
    </row>
    <row r="16" spans="1:5" ht="20.100000000000001" customHeight="1" x14ac:dyDescent="0.2">
      <c r="A16" s="18" t="s">
        <v>14</v>
      </c>
      <c r="B16" s="188">
        <v>6</v>
      </c>
      <c r="C16" s="189"/>
      <c r="D16" s="189"/>
      <c r="E16" s="190"/>
    </row>
    <row r="17" spans="1:5" ht="20.100000000000001" customHeight="1" x14ac:dyDescent="0.2">
      <c r="A17" s="18" t="s">
        <v>15</v>
      </c>
      <c r="B17" s="188">
        <v>2.5</v>
      </c>
      <c r="C17" s="189"/>
      <c r="D17" s="189"/>
      <c r="E17" s="190"/>
    </row>
    <row r="18" spans="1:5" ht="20.100000000000001" customHeight="1" x14ac:dyDescent="0.2">
      <c r="A18" s="18" t="s">
        <v>130</v>
      </c>
      <c r="B18" s="188">
        <v>0.1</v>
      </c>
      <c r="C18" s="189"/>
      <c r="D18" s="189"/>
      <c r="E18" s="190"/>
    </row>
    <row r="19" spans="1:5" ht="20.100000000000001" customHeight="1" x14ac:dyDescent="0.2">
      <c r="A19" s="18"/>
      <c r="B19" s="202" t="s">
        <v>28</v>
      </c>
      <c r="C19" s="203"/>
      <c r="D19" s="191" t="s">
        <v>27</v>
      </c>
      <c r="E19" s="192"/>
    </row>
    <row r="20" spans="1:5" ht="20.100000000000001" customHeight="1" x14ac:dyDescent="0.2">
      <c r="A20" s="18" t="s">
        <v>64</v>
      </c>
      <c r="B20" s="10">
        <v>41</v>
      </c>
      <c r="C20" s="10">
        <v>41</v>
      </c>
      <c r="D20" s="26">
        <v>0.5</v>
      </c>
      <c r="E20" s="27">
        <v>0.5</v>
      </c>
    </row>
    <row r="21" spans="1:5" ht="20.100000000000001" customHeight="1" x14ac:dyDescent="0.2">
      <c r="A21" s="5" t="s">
        <v>16</v>
      </c>
      <c r="B21" s="10">
        <v>41</v>
      </c>
      <c r="C21" s="10">
        <v>41</v>
      </c>
      <c r="D21" s="26">
        <v>0.6</v>
      </c>
      <c r="E21" s="27">
        <v>0.6</v>
      </c>
    </row>
    <row r="22" spans="1:5" ht="20.100000000000001" customHeight="1" x14ac:dyDescent="0.2">
      <c r="A22" s="5" t="s">
        <v>17</v>
      </c>
      <c r="B22" s="10">
        <v>47</v>
      </c>
      <c r="C22" s="10">
        <v>46</v>
      </c>
      <c r="D22" s="26">
        <v>0.6</v>
      </c>
      <c r="E22" s="27">
        <v>0.6</v>
      </c>
    </row>
    <row r="23" spans="1:5" ht="20.100000000000001" customHeight="1" x14ac:dyDescent="0.2">
      <c r="A23" s="5" t="s">
        <v>18</v>
      </c>
      <c r="B23" s="10">
        <v>55</v>
      </c>
      <c r="C23" s="10">
        <v>52</v>
      </c>
      <c r="D23" s="26">
        <v>0.6</v>
      </c>
      <c r="E23" s="27">
        <v>0.6</v>
      </c>
    </row>
    <row r="24" spans="1:5" ht="20.100000000000001" customHeight="1" x14ac:dyDescent="0.2">
      <c r="A24" s="5" t="s">
        <v>19</v>
      </c>
      <c r="B24" s="10">
        <v>63</v>
      </c>
      <c r="C24" s="10">
        <v>59</v>
      </c>
      <c r="D24" s="28">
        <v>0.7</v>
      </c>
      <c r="E24" s="29">
        <v>0.7</v>
      </c>
    </row>
    <row r="25" spans="1:5" ht="20.100000000000001" customHeight="1" x14ac:dyDescent="0.2">
      <c r="A25" s="5" t="s">
        <v>20</v>
      </c>
      <c r="B25" s="10">
        <v>71</v>
      </c>
      <c r="C25" s="10">
        <v>66</v>
      </c>
      <c r="D25" s="28">
        <v>0.7</v>
      </c>
      <c r="E25" s="29">
        <v>0.7</v>
      </c>
    </row>
    <row r="26" spans="1:5" s="8" customFormat="1" ht="20.100000000000001" customHeight="1" x14ac:dyDescent="0.2">
      <c r="A26" s="5" t="s">
        <v>21</v>
      </c>
      <c r="B26" s="10">
        <v>77</v>
      </c>
      <c r="C26" s="10">
        <v>73</v>
      </c>
      <c r="D26" s="28">
        <v>0.7</v>
      </c>
      <c r="E26" s="29">
        <v>0.7</v>
      </c>
    </row>
    <row r="27" spans="1:5" ht="20.100000000000001" customHeight="1" x14ac:dyDescent="0.2">
      <c r="A27" s="5" t="s">
        <v>22</v>
      </c>
      <c r="B27" s="10">
        <v>89</v>
      </c>
      <c r="C27" s="10">
        <v>83</v>
      </c>
      <c r="D27" s="28">
        <v>0.7</v>
      </c>
      <c r="E27" s="29">
        <v>0.7</v>
      </c>
    </row>
    <row r="28" spans="1:5" ht="20.100000000000001" customHeight="1" x14ac:dyDescent="0.2">
      <c r="A28" s="5" t="s">
        <v>23</v>
      </c>
      <c r="B28" s="10">
        <v>101</v>
      </c>
      <c r="C28" s="10">
        <v>94</v>
      </c>
      <c r="D28" s="28">
        <v>0.8</v>
      </c>
      <c r="E28" s="29">
        <v>0.8</v>
      </c>
    </row>
    <row r="29" spans="1:5" ht="20.100000000000001" customHeight="1" x14ac:dyDescent="0.2">
      <c r="A29" s="5" t="s">
        <v>24</v>
      </c>
      <c r="B29" s="10">
        <v>106</v>
      </c>
      <c r="C29" s="10">
        <v>100</v>
      </c>
      <c r="D29" s="28">
        <v>0.8</v>
      </c>
      <c r="E29" s="29">
        <v>0.8</v>
      </c>
    </row>
    <row r="30" spans="1:5" ht="20.100000000000001" customHeight="1" thickBot="1" x14ac:dyDescent="0.25">
      <c r="A30" s="6"/>
      <c r="B30" s="7"/>
      <c r="C30" s="7"/>
      <c r="D30" s="7"/>
      <c r="E30" s="11"/>
    </row>
    <row r="31" spans="1:5" ht="20.100000000000001" customHeight="1" thickTop="1" x14ac:dyDescent="0.2"/>
    <row r="32" spans="1:5" ht="20.100000000000001" customHeight="1" thickBot="1" x14ac:dyDescent="0.35">
      <c r="A32" s="12" t="s">
        <v>3</v>
      </c>
      <c r="B32" s="20"/>
      <c r="C32" s="21"/>
      <c r="D32" s="9"/>
      <c r="E32" s="9"/>
    </row>
    <row r="33" spans="1:9" ht="20.100000000000001" customHeight="1" thickTop="1" thickBot="1" x14ac:dyDescent="0.25">
      <c r="A33" s="4" t="s">
        <v>1</v>
      </c>
      <c r="B33" s="16" t="s">
        <v>30</v>
      </c>
      <c r="C33" s="16" t="s">
        <v>31</v>
      </c>
      <c r="D33" s="16" t="s">
        <v>32</v>
      </c>
      <c r="E33" s="16" t="s">
        <v>33</v>
      </c>
      <c r="F33" s="16" t="s">
        <v>34</v>
      </c>
      <c r="G33" s="16" t="s">
        <v>35</v>
      </c>
      <c r="H33" s="16" t="s">
        <v>95</v>
      </c>
      <c r="I33" s="17" t="s">
        <v>94</v>
      </c>
    </row>
    <row r="34" spans="1:9" ht="20.100000000000001" customHeight="1" thickTop="1" x14ac:dyDescent="0.2">
      <c r="A34" s="19" t="s">
        <v>36</v>
      </c>
      <c r="B34" s="25">
        <f>B12/B8</f>
        <v>30.991735537190085</v>
      </c>
      <c r="C34" s="25">
        <f>B12/B8</f>
        <v>30.991735537190085</v>
      </c>
      <c r="D34" s="25">
        <f t="shared" ref="D34:E38" si="0">$B12*$B$10/$B$9</f>
        <v>14.68384074941452</v>
      </c>
      <c r="E34" s="25">
        <f t="shared" si="0"/>
        <v>14.68384074941452</v>
      </c>
      <c r="F34" s="25">
        <f t="shared" ref="F34:G38" si="1">$B12*$B$10/$B$10</f>
        <v>15</v>
      </c>
      <c r="G34" s="25">
        <f t="shared" si="1"/>
        <v>15</v>
      </c>
      <c r="H34" s="33">
        <f>$B$17</f>
        <v>2.5</v>
      </c>
      <c r="I34" s="35">
        <f>$D$20</f>
        <v>0.5</v>
      </c>
    </row>
    <row r="35" spans="1:9" ht="20.100000000000001" customHeight="1" x14ac:dyDescent="0.2">
      <c r="A35" s="19" t="s">
        <v>37</v>
      </c>
      <c r="B35" s="31">
        <f>B13/B8</f>
        <v>30.991735537190085</v>
      </c>
      <c r="C35" s="31">
        <f>B13/B8</f>
        <v>30.991735537190085</v>
      </c>
      <c r="D35" s="31">
        <f t="shared" si="0"/>
        <v>14.68384074941452</v>
      </c>
      <c r="E35" s="31">
        <f t="shared" si="0"/>
        <v>14.68384074941452</v>
      </c>
      <c r="F35" s="31">
        <f t="shared" si="1"/>
        <v>15</v>
      </c>
      <c r="G35" s="31">
        <f t="shared" si="1"/>
        <v>15</v>
      </c>
      <c r="H35" s="32">
        <f t="shared" ref="H35:H37" si="2">$B$17</f>
        <v>2.5</v>
      </c>
      <c r="I35" s="34">
        <f t="shared" ref="I35:I37" si="3">$D$20</f>
        <v>0.5</v>
      </c>
    </row>
    <row r="36" spans="1:9" ht="20.100000000000001" customHeight="1" x14ac:dyDescent="0.2">
      <c r="A36" s="19" t="s">
        <v>38</v>
      </c>
      <c r="B36" s="31">
        <f>B14/B8</f>
        <v>55.785123966942152</v>
      </c>
      <c r="C36" s="31">
        <f>B14/B8</f>
        <v>55.785123966942152</v>
      </c>
      <c r="D36" s="31">
        <f t="shared" si="0"/>
        <v>26.430913348946135</v>
      </c>
      <c r="E36" s="31">
        <f t="shared" si="0"/>
        <v>26.430913348946135</v>
      </c>
      <c r="F36" s="31">
        <f t="shared" si="1"/>
        <v>27</v>
      </c>
      <c r="G36" s="31">
        <f t="shared" si="1"/>
        <v>27</v>
      </c>
      <c r="H36" s="32">
        <f t="shared" si="2"/>
        <v>2.5</v>
      </c>
      <c r="I36" s="34">
        <f t="shared" si="3"/>
        <v>0.5</v>
      </c>
    </row>
    <row r="37" spans="1:9" ht="20.100000000000001" customHeight="1" x14ac:dyDescent="0.2">
      <c r="A37" s="19" t="s">
        <v>39</v>
      </c>
      <c r="B37" s="31">
        <f>B15/B8</f>
        <v>90.909090909090907</v>
      </c>
      <c r="C37" s="31">
        <f>B15/B8</f>
        <v>90.909090909090907</v>
      </c>
      <c r="D37" s="31">
        <f t="shared" si="0"/>
        <v>43.072599531615921</v>
      </c>
      <c r="E37" s="31">
        <f t="shared" si="0"/>
        <v>43.072599531615921</v>
      </c>
      <c r="F37" s="31">
        <f t="shared" si="1"/>
        <v>44</v>
      </c>
      <c r="G37" s="31">
        <f t="shared" si="1"/>
        <v>44</v>
      </c>
      <c r="H37" s="32">
        <f t="shared" si="2"/>
        <v>2.5</v>
      </c>
      <c r="I37" s="34">
        <f t="shared" si="3"/>
        <v>0.5</v>
      </c>
    </row>
    <row r="38" spans="1:9" ht="20.100000000000001" customHeight="1" x14ac:dyDescent="0.2">
      <c r="A38" s="19" t="s">
        <v>40</v>
      </c>
      <c r="B38" s="31">
        <f>B16/B8</f>
        <v>12.396694214876034</v>
      </c>
      <c r="C38" s="31">
        <f>B16/B8</f>
        <v>12.396694214876034</v>
      </c>
      <c r="D38" s="31">
        <f t="shared" si="0"/>
        <v>5.8735362997658083</v>
      </c>
      <c r="E38" s="31">
        <f t="shared" si="0"/>
        <v>5.8735362997658083</v>
      </c>
      <c r="F38" s="31">
        <f t="shared" si="1"/>
        <v>6</v>
      </c>
      <c r="G38" s="31">
        <f t="shared" si="1"/>
        <v>6</v>
      </c>
      <c r="H38" s="32">
        <v>0</v>
      </c>
      <c r="I38" s="34">
        <v>0.1</v>
      </c>
    </row>
    <row r="39" spans="1:9" ht="20.100000000000001" customHeight="1" x14ac:dyDescent="0.2">
      <c r="A39" s="48"/>
      <c r="B39" s="31"/>
      <c r="C39" s="31"/>
      <c r="D39" s="31"/>
      <c r="E39" s="31"/>
      <c r="F39" s="31"/>
      <c r="G39" s="31"/>
      <c r="H39" s="32"/>
      <c r="I39" s="34"/>
    </row>
    <row r="40" spans="1:9" ht="20.100000000000001" customHeight="1" x14ac:dyDescent="0.2">
      <c r="A40" s="61">
        <v>0</v>
      </c>
      <c r="B40" s="31">
        <f>B34</f>
        <v>30.991735537190085</v>
      </c>
      <c r="C40" s="31">
        <f t="shared" ref="C40:I40" si="4">C34</f>
        <v>30.991735537190085</v>
      </c>
      <c r="D40" s="31">
        <f t="shared" si="4"/>
        <v>14.68384074941452</v>
      </c>
      <c r="E40" s="31">
        <f t="shared" si="4"/>
        <v>14.68384074941452</v>
      </c>
      <c r="F40" s="31">
        <f t="shared" si="4"/>
        <v>15</v>
      </c>
      <c r="G40" s="31">
        <f t="shared" si="4"/>
        <v>15</v>
      </c>
      <c r="H40" s="32">
        <f>B17</f>
        <v>2.5</v>
      </c>
      <c r="I40" s="34">
        <f t="shared" si="4"/>
        <v>0.5</v>
      </c>
    </row>
    <row r="41" spans="1:9" ht="20.100000000000001" customHeight="1" x14ac:dyDescent="0.2">
      <c r="A41" s="61">
        <v>0.1</v>
      </c>
      <c r="B41" s="31">
        <v>84.710743801652896</v>
      </c>
      <c r="C41" s="31">
        <v>86.776859504132233</v>
      </c>
      <c r="D41" s="31">
        <v>40.13583138173302</v>
      </c>
      <c r="E41" s="31">
        <v>41.114754098360656</v>
      </c>
      <c r="F41" s="31">
        <v>41</v>
      </c>
      <c r="G41" s="31">
        <v>42.000000000000007</v>
      </c>
      <c r="H41" s="32">
        <f>B17</f>
        <v>2.5</v>
      </c>
      <c r="I41" s="34">
        <v>0.6</v>
      </c>
    </row>
    <row r="42" spans="1:9" ht="20.100000000000001" customHeight="1" x14ac:dyDescent="0.2">
      <c r="A42" s="61">
        <v>12</v>
      </c>
      <c r="B42" s="31">
        <f>B21/$B$8</f>
        <v>84.710743801652896</v>
      </c>
      <c r="C42" s="31">
        <f>C21/$B$8</f>
        <v>84.710743801652896</v>
      </c>
      <c r="D42" s="31">
        <f>B21*$B$10/$B$9</f>
        <v>40.13583138173302</v>
      </c>
      <c r="E42" s="31">
        <f t="shared" ref="E42" si="5">C21*$B$10/$B$9</f>
        <v>40.13583138173302</v>
      </c>
      <c r="F42" s="31">
        <f>B21*$B$10/$B$10</f>
        <v>41</v>
      </c>
      <c r="G42" s="31">
        <f t="shared" ref="G42" si="6">C21*$B$10/$B$10</f>
        <v>41</v>
      </c>
      <c r="H42" s="32">
        <v>0</v>
      </c>
      <c r="I42" s="34">
        <f>(D21+E21)/2</f>
        <v>0.6</v>
      </c>
    </row>
    <row r="43" spans="1:9" ht="20.100000000000001" customHeight="1" x14ac:dyDescent="0.2">
      <c r="A43" s="61">
        <v>12.1</v>
      </c>
      <c r="B43" s="31">
        <f>0.1*(B$52-B$42)+B42</f>
        <v>85.950413223140501</v>
      </c>
      <c r="C43" s="31">
        <f t="shared" ref="C43:I51" si="7">0.1*(C$52-C$42)+C42</f>
        <v>85.743801652892571</v>
      </c>
      <c r="D43" s="31">
        <f t="shared" si="7"/>
        <v>40.723185011709603</v>
      </c>
      <c r="E43" s="31">
        <f t="shared" si="7"/>
        <v>40.625292740046838</v>
      </c>
      <c r="F43" s="31">
        <f t="shared" si="7"/>
        <v>41.6</v>
      </c>
      <c r="G43" s="31">
        <f t="shared" si="7"/>
        <v>41.5</v>
      </c>
      <c r="H43" s="32">
        <v>0</v>
      </c>
      <c r="I43" s="34">
        <f t="shared" si="7"/>
        <v>0.6</v>
      </c>
    </row>
    <row r="44" spans="1:9" ht="20.100000000000001" customHeight="1" x14ac:dyDescent="0.2">
      <c r="A44" s="61">
        <v>12.2</v>
      </c>
      <c r="B44" s="31">
        <f t="shared" ref="B44:B51" si="8">0.1*(B$52-B$42)+B43</f>
        <v>87.190082644628106</v>
      </c>
      <c r="C44" s="31">
        <f t="shared" si="7"/>
        <v>86.776859504132247</v>
      </c>
      <c r="D44" s="31">
        <f t="shared" si="7"/>
        <v>41.310538641686186</v>
      </c>
      <c r="E44" s="31">
        <f t="shared" si="7"/>
        <v>41.114754098360656</v>
      </c>
      <c r="F44" s="31">
        <f t="shared" si="7"/>
        <v>42.2</v>
      </c>
      <c r="G44" s="31">
        <f t="shared" si="7"/>
        <v>42</v>
      </c>
      <c r="H44" s="32">
        <v>0</v>
      </c>
      <c r="I44" s="34">
        <f t="shared" si="7"/>
        <v>0.6</v>
      </c>
    </row>
    <row r="45" spans="1:9" ht="20.100000000000001" customHeight="1" x14ac:dyDescent="0.2">
      <c r="A45" s="61">
        <v>12.3</v>
      </c>
      <c r="B45" s="31">
        <f t="shared" si="8"/>
        <v>88.429752066115711</v>
      </c>
      <c r="C45" s="31">
        <f t="shared" si="7"/>
        <v>87.809917355371923</v>
      </c>
      <c r="D45" s="31">
        <f t="shared" si="7"/>
        <v>41.897892271662769</v>
      </c>
      <c r="E45" s="31">
        <f t="shared" si="7"/>
        <v>41.604215456674474</v>
      </c>
      <c r="F45" s="31">
        <f t="shared" si="7"/>
        <v>42.800000000000004</v>
      </c>
      <c r="G45" s="31">
        <f t="shared" si="7"/>
        <v>42.5</v>
      </c>
      <c r="H45" s="32">
        <v>0</v>
      </c>
      <c r="I45" s="34">
        <f t="shared" si="7"/>
        <v>0.6</v>
      </c>
    </row>
    <row r="46" spans="1:9" ht="20.100000000000001" customHeight="1" x14ac:dyDescent="0.2">
      <c r="A46" s="61">
        <v>12.4</v>
      </c>
      <c r="B46" s="31">
        <f t="shared" si="8"/>
        <v>89.669421487603316</v>
      </c>
      <c r="C46" s="31">
        <f t="shared" si="7"/>
        <v>88.842975206611598</v>
      </c>
      <c r="D46" s="31">
        <f t="shared" si="7"/>
        <v>42.485245901639352</v>
      </c>
      <c r="E46" s="31">
        <f t="shared" si="7"/>
        <v>42.093676814988292</v>
      </c>
      <c r="F46" s="31">
        <f t="shared" si="7"/>
        <v>43.400000000000006</v>
      </c>
      <c r="G46" s="31">
        <f t="shared" si="7"/>
        <v>43</v>
      </c>
      <c r="H46" s="32">
        <v>0</v>
      </c>
      <c r="I46" s="34">
        <f t="shared" si="7"/>
        <v>0.6</v>
      </c>
    </row>
    <row r="47" spans="1:9" ht="20.100000000000001" customHeight="1" x14ac:dyDescent="0.2">
      <c r="A47" s="61">
        <v>12.5</v>
      </c>
      <c r="B47" s="31">
        <f t="shared" si="8"/>
        <v>90.909090909090921</v>
      </c>
      <c r="C47" s="31">
        <f t="shared" si="7"/>
        <v>89.876033057851274</v>
      </c>
      <c r="D47" s="31">
        <f t="shared" si="7"/>
        <v>43.072599531615936</v>
      </c>
      <c r="E47" s="31">
        <f t="shared" si="7"/>
        <v>42.58313817330211</v>
      </c>
      <c r="F47" s="31">
        <f t="shared" si="7"/>
        <v>44.000000000000007</v>
      </c>
      <c r="G47" s="31">
        <f t="shared" si="7"/>
        <v>43.5</v>
      </c>
      <c r="H47" s="32">
        <v>0</v>
      </c>
      <c r="I47" s="34">
        <f t="shared" si="7"/>
        <v>0.6</v>
      </c>
    </row>
    <row r="48" spans="1:9" ht="20.100000000000001" customHeight="1" x14ac:dyDescent="0.2">
      <c r="A48" s="61">
        <v>12.6</v>
      </c>
      <c r="B48" s="31">
        <f t="shared" si="8"/>
        <v>92.148760330578526</v>
      </c>
      <c r="C48" s="31">
        <f t="shared" si="7"/>
        <v>90.909090909090949</v>
      </c>
      <c r="D48" s="31">
        <f t="shared" si="7"/>
        <v>43.659953161592519</v>
      </c>
      <c r="E48" s="31">
        <f t="shared" si="7"/>
        <v>43.072599531615928</v>
      </c>
      <c r="F48" s="31">
        <f t="shared" si="7"/>
        <v>44.600000000000009</v>
      </c>
      <c r="G48" s="31">
        <f t="shared" si="7"/>
        <v>44</v>
      </c>
      <c r="H48" s="32">
        <v>0</v>
      </c>
      <c r="I48" s="34">
        <f t="shared" si="7"/>
        <v>0.6</v>
      </c>
    </row>
    <row r="49" spans="1:9" ht="20.100000000000001" customHeight="1" x14ac:dyDescent="0.2">
      <c r="A49" s="61">
        <v>12.7</v>
      </c>
      <c r="B49" s="31">
        <f t="shared" si="8"/>
        <v>93.388429752066131</v>
      </c>
      <c r="C49" s="31">
        <f t="shared" si="7"/>
        <v>91.942148760330625</v>
      </c>
      <c r="D49" s="31">
        <f t="shared" si="7"/>
        <v>44.247306791569102</v>
      </c>
      <c r="E49" s="31">
        <f t="shared" si="7"/>
        <v>43.562060889929747</v>
      </c>
      <c r="F49" s="31">
        <f t="shared" si="7"/>
        <v>45.20000000000001</v>
      </c>
      <c r="G49" s="31">
        <f t="shared" si="7"/>
        <v>44.5</v>
      </c>
      <c r="H49" s="32">
        <v>0</v>
      </c>
      <c r="I49" s="34">
        <f t="shared" si="7"/>
        <v>0.6</v>
      </c>
    </row>
    <row r="50" spans="1:9" ht="20.100000000000001" customHeight="1" x14ac:dyDescent="0.2">
      <c r="A50" s="61">
        <v>12.8</v>
      </c>
      <c r="B50" s="31">
        <f t="shared" si="8"/>
        <v>94.628099173553736</v>
      </c>
      <c r="C50" s="31">
        <f t="shared" si="7"/>
        <v>92.9752066115703</v>
      </c>
      <c r="D50" s="31">
        <f t="shared" si="7"/>
        <v>44.834660421545685</v>
      </c>
      <c r="E50" s="31">
        <f t="shared" si="7"/>
        <v>44.051522248243565</v>
      </c>
      <c r="F50" s="31">
        <f t="shared" si="7"/>
        <v>45.800000000000011</v>
      </c>
      <c r="G50" s="31">
        <f t="shared" si="7"/>
        <v>45</v>
      </c>
      <c r="H50" s="32">
        <v>0</v>
      </c>
      <c r="I50" s="34">
        <f t="shared" si="7"/>
        <v>0.6</v>
      </c>
    </row>
    <row r="51" spans="1:9" ht="20.100000000000001" customHeight="1" x14ac:dyDescent="0.2">
      <c r="A51" s="61">
        <v>12.9</v>
      </c>
      <c r="B51" s="31">
        <f t="shared" si="8"/>
        <v>95.867768595041341</v>
      </c>
      <c r="C51" s="31">
        <f t="shared" si="7"/>
        <v>94.008264462809976</v>
      </c>
      <c r="D51" s="31">
        <f t="shared" si="7"/>
        <v>45.422014051522268</v>
      </c>
      <c r="E51" s="31">
        <f t="shared" si="7"/>
        <v>44.540983606557383</v>
      </c>
      <c r="F51" s="31">
        <f t="shared" si="7"/>
        <v>46.400000000000013</v>
      </c>
      <c r="G51" s="31">
        <f t="shared" si="7"/>
        <v>45.5</v>
      </c>
      <c r="H51" s="32">
        <v>0</v>
      </c>
      <c r="I51" s="34">
        <f t="shared" si="7"/>
        <v>0.6</v>
      </c>
    </row>
    <row r="52" spans="1:9" ht="20.100000000000001" customHeight="1" x14ac:dyDescent="0.2">
      <c r="A52" s="61">
        <v>13</v>
      </c>
      <c r="B52" s="31">
        <f t="shared" ref="B52" si="9">B22/$B$8</f>
        <v>97.107438016528931</v>
      </c>
      <c r="C52" s="31">
        <f>C22/$B$8</f>
        <v>95.041322314049594</v>
      </c>
      <c r="D52" s="31">
        <f t="shared" ref="D52" si="10">B22*$B$10/$B$9</f>
        <v>46.00936768149883</v>
      </c>
      <c r="E52" s="31">
        <f>C22*$B$10/$B$9</f>
        <v>45.030444964871194</v>
      </c>
      <c r="F52" s="31">
        <f t="shared" ref="F52" si="11">B22*$B$10/$B$10</f>
        <v>47.000000000000007</v>
      </c>
      <c r="G52" s="31">
        <f>C22*$B$10/$B$10</f>
        <v>46</v>
      </c>
      <c r="H52" s="32">
        <v>0</v>
      </c>
      <c r="I52" s="34">
        <f t="shared" ref="I52" si="12">(D22+E22)/2</f>
        <v>0.6</v>
      </c>
    </row>
    <row r="53" spans="1:9" ht="20.100000000000001" customHeight="1" x14ac:dyDescent="0.2">
      <c r="A53" s="61">
        <v>13.1</v>
      </c>
      <c r="B53" s="31">
        <f>0.1*(B$62-B$52)+B52</f>
        <v>98.760330578512395</v>
      </c>
      <c r="C53" s="31">
        <f t="shared" ref="C53:I61" si="13">0.1*(C$62-C$52)+C52</f>
        <v>96.280991735537199</v>
      </c>
      <c r="D53" s="31">
        <f t="shared" si="13"/>
        <v>46.792505854800936</v>
      </c>
      <c r="E53" s="31">
        <f t="shared" si="13"/>
        <v>45.617798594847777</v>
      </c>
      <c r="F53" s="31">
        <f t="shared" si="13"/>
        <v>47.800000000000004</v>
      </c>
      <c r="G53" s="31">
        <f t="shared" si="13"/>
        <v>46.6</v>
      </c>
      <c r="H53" s="32">
        <v>0</v>
      </c>
      <c r="I53" s="34">
        <f t="shared" si="13"/>
        <v>0.6</v>
      </c>
    </row>
    <row r="54" spans="1:9" ht="20.100000000000001" customHeight="1" x14ac:dyDescent="0.2">
      <c r="A54" s="61">
        <v>13.2</v>
      </c>
      <c r="B54" s="31">
        <f t="shared" ref="B54:B61" si="14">0.1*(B$62-B$52)+B53</f>
        <v>100.41322314049586</v>
      </c>
      <c r="C54" s="31">
        <f t="shared" si="13"/>
        <v>97.520661157024804</v>
      </c>
      <c r="D54" s="31">
        <f t="shared" si="13"/>
        <v>47.575644028103042</v>
      </c>
      <c r="E54" s="31">
        <f t="shared" si="13"/>
        <v>46.20515222482436</v>
      </c>
      <c r="F54" s="31">
        <f t="shared" si="13"/>
        <v>48.6</v>
      </c>
      <c r="G54" s="31">
        <f t="shared" si="13"/>
        <v>47.2</v>
      </c>
      <c r="H54" s="32">
        <v>0</v>
      </c>
      <c r="I54" s="34">
        <f t="shared" si="13"/>
        <v>0.6</v>
      </c>
    </row>
    <row r="55" spans="1:9" ht="20.100000000000001" customHeight="1" x14ac:dyDescent="0.2">
      <c r="A55" s="61">
        <v>13.3</v>
      </c>
      <c r="B55" s="31">
        <f t="shared" si="14"/>
        <v>102.06611570247932</v>
      </c>
      <c r="C55" s="31">
        <f t="shared" si="13"/>
        <v>98.760330578512409</v>
      </c>
      <c r="D55" s="31">
        <f t="shared" si="13"/>
        <v>48.358782201405148</v>
      </c>
      <c r="E55" s="31">
        <f t="shared" si="13"/>
        <v>46.792505854800943</v>
      </c>
      <c r="F55" s="31">
        <f t="shared" si="13"/>
        <v>49.4</v>
      </c>
      <c r="G55" s="31">
        <f t="shared" si="13"/>
        <v>47.800000000000004</v>
      </c>
      <c r="H55" s="32">
        <v>0</v>
      </c>
      <c r="I55" s="34">
        <f t="shared" si="13"/>
        <v>0.6</v>
      </c>
    </row>
    <row r="56" spans="1:9" ht="20.100000000000001" customHeight="1" x14ac:dyDescent="0.2">
      <c r="A56" s="61">
        <v>13.4</v>
      </c>
      <c r="B56" s="31">
        <f t="shared" si="14"/>
        <v>103.71900826446279</v>
      </c>
      <c r="C56" s="31">
        <f t="shared" si="13"/>
        <v>100.00000000000001</v>
      </c>
      <c r="D56" s="31">
        <f t="shared" si="13"/>
        <v>49.141920374707254</v>
      </c>
      <c r="E56" s="31">
        <f t="shared" si="13"/>
        <v>47.379859484777526</v>
      </c>
      <c r="F56" s="31">
        <f t="shared" si="13"/>
        <v>50.199999999999996</v>
      </c>
      <c r="G56" s="31">
        <f t="shared" si="13"/>
        <v>48.400000000000006</v>
      </c>
      <c r="H56" s="32">
        <v>0</v>
      </c>
      <c r="I56" s="34">
        <f t="shared" si="13"/>
        <v>0.6</v>
      </c>
    </row>
    <row r="57" spans="1:9" ht="20.100000000000001" customHeight="1" x14ac:dyDescent="0.2">
      <c r="A57" s="61">
        <v>13.5</v>
      </c>
      <c r="B57" s="31">
        <f t="shared" si="14"/>
        <v>105.37190082644625</v>
      </c>
      <c r="C57" s="31">
        <f t="shared" si="13"/>
        <v>101.23966942148762</v>
      </c>
      <c r="D57" s="31">
        <f t="shared" si="13"/>
        <v>49.92505854800936</v>
      </c>
      <c r="E57" s="31">
        <f t="shared" si="13"/>
        <v>47.967213114754109</v>
      </c>
      <c r="F57" s="31">
        <f t="shared" si="13"/>
        <v>50.999999999999993</v>
      </c>
      <c r="G57" s="31">
        <f t="shared" si="13"/>
        <v>49.000000000000007</v>
      </c>
      <c r="H57" s="32">
        <v>0</v>
      </c>
      <c r="I57" s="34">
        <f t="shared" si="13"/>
        <v>0.6</v>
      </c>
    </row>
    <row r="58" spans="1:9" ht="20.100000000000001" customHeight="1" x14ac:dyDescent="0.2">
      <c r="A58" s="61">
        <v>13.6</v>
      </c>
      <c r="B58" s="31">
        <f t="shared" si="14"/>
        <v>107.02479338842971</v>
      </c>
      <c r="C58" s="31">
        <f t="shared" si="13"/>
        <v>102.47933884297522</v>
      </c>
      <c r="D58" s="31">
        <f t="shared" si="13"/>
        <v>50.708196721311467</v>
      </c>
      <c r="E58" s="31">
        <f t="shared" si="13"/>
        <v>48.554566744730693</v>
      </c>
      <c r="F58" s="31">
        <f t="shared" si="13"/>
        <v>51.79999999999999</v>
      </c>
      <c r="G58" s="31">
        <f t="shared" si="13"/>
        <v>49.600000000000009</v>
      </c>
      <c r="H58" s="32">
        <v>0</v>
      </c>
      <c r="I58" s="34">
        <f t="shared" si="13"/>
        <v>0.6</v>
      </c>
    </row>
    <row r="59" spans="1:9" ht="20.100000000000001" customHeight="1" x14ac:dyDescent="0.2">
      <c r="A59" s="61">
        <v>13.7</v>
      </c>
      <c r="B59" s="31">
        <f t="shared" si="14"/>
        <v>108.67768595041318</v>
      </c>
      <c r="C59" s="31">
        <f t="shared" si="13"/>
        <v>103.71900826446283</v>
      </c>
      <c r="D59" s="31">
        <f t="shared" si="13"/>
        <v>51.491334894613573</v>
      </c>
      <c r="E59" s="31">
        <f t="shared" si="13"/>
        <v>49.141920374707276</v>
      </c>
      <c r="F59" s="31">
        <f t="shared" si="13"/>
        <v>52.599999999999987</v>
      </c>
      <c r="G59" s="31">
        <f t="shared" si="13"/>
        <v>50.20000000000001</v>
      </c>
      <c r="H59" s="32">
        <v>0</v>
      </c>
      <c r="I59" s="34">
        <f t="shared" si="13"/>
        <v>0.6</v>
      </c>
    </row>
    <row r="60" spans="1:9" ht="20.100000000000001" customHeight="1" x14ac:dyDescent="0.2">
      <c r="A60" s="61">
        <v>13.8</v>
      </c>
      <c r="B60" s="31">
        <f t="shared" si="14"/>
        <v>110.33057851239664</v>
      </c>
      <c r="C60" s="31">
        <f t="shared" si="13"/>
        <v>104.95867768595043</v>
      </c>
      <c r="D60" s="31">
        <f t="shared" si="13"/>
        <v>52.274473067915679</v>
      </c>
      <c r="E60" s="31">
        <f t="shared" si="13"/>
        <v>49.729274004683859</v>
      </c>
      <c r="F60" s="31">
        <f t="shared" si="13"/>
        <v>53.399999999999984</v>
      </c>
      <c r="G60" s="31">
        <f t="shared" si="13"/>
        <v>50.800000000000011</v>
      </c>
      <c r="H60" s="32">
        <v>0</v>
      </c>
      <c r="I60" s="34">
        <f t="shared" si="13"/>
        <v>0.6</v>
      </c>
    </row>
    <row r="61" spans="1:9" ht="20.100000000000001" customHeight="1" x14ac:dyDescent="0.2">
      <c r="A61" s="61">
        <v>13.9</v>
      </c>
      <c r="B61" s="31">
        <f t="shared" si="14"/>
        <v>111.98347107438011</v>
      </c>
      <c r="C61" s="31">
        <f t="shared" si="13"/>
        <v>106.19834710743804</v>
      </c>
      <c r="D61" s="31">
        <f t="shared" si="13"/>
        <v>53.057611241217785</v>
      </c>
      <c r="E61" s="31">
        <f t="shared" si="13"/>
        <v>50.316627634660442</v>
      </c>
      <c r="F61" s="31">
        <f t="shared" si="13"/>
        <v>54.199999999999982</v>
      </c>
      <c r="G61" s="31">
        <f t="shared" si="13"/>
        <v>51.400000000000013</v>
      </c>
      <c r="H61" s="32">
        <v>0</v>
      </c>
      <c r="I61" s="34">
        <f t="shared" si="13"/>
        <v>0.6</v>
      </c>
    </row>
    <row r="62" spans="1:9" ht="20.100000000000001" customHeight="1" x14ac:dyDescent="0.2">
      <c r="A62" s="61">
        <v>14</v>
      </c>
      <c r="B62" s="31">
        <f t="shared" ref="B62" si="15">B23/$B$8</f>
        <v>113.63636363636364</v>
      </c>
      <c r="C62" s="31">
        <f>C23/$B$8</f>
        <v>107.43801652892563</v>
      </c>
      <c r="D62" s="31">
        <f>B23*$B$10/$B$9</f>
        <v>53.840749414519905</v>
      </c>
      <c r="E62" s="31">
        <f>C23*$B$10/$B$9</f>
        <v>50.903981264637004</v>
      </c>
      <c r="F62" s="31">
        <f>B23*$B$10/$B$10</f>
        <v>55</v>
      </c>
      <c r="G62" s="31">
        <f>C23*$B$10/$B$10</f>
        <v>52.000000000000007</v>
      </c>
      <c r="H62" s="32">
        <v>0</v>
      </c>
      <c r="I62" s="34">
        <f>(D23+E23)/2</f>
        <v>0.6</v>
      </c>
    </row>
    <row r="63" spans="1:9" ht="20.100000000000001" customHeight="1" x14ac:dyDescent="0.2">
      <c r="A63" s="61">
        <v>14.1</v>
      </c>
      <c r="B63" s="31">
        <f>0.1*(B$72-B$62)+B62</f>
        <v>115.28925619834712</v>
      </c>
      <c r="C63" s="31">
        <f t="shared" ref="C63:I71" si="16">0.1*(C$72-C$62)+C62</f>
        <v>108.88429752066116</v>
      </c>
      <c r="D63" s="31">
        <f t="shared" si="16"/>
        <v>54.623887587822011</v>
      </c>
      <c r="E63" s="31">
        <f t="shared" si="16"/>
        <v>51.589227166276345</v>
      </c>
      <c r="F63" s="31">
        <f t="shared" si="16"/>
        <v>55.8</v>
      </c>
      <c r="G63" s="31">
        <f t="shared" si="16"/>
        <v>52.7</v>
      </c>
      <c r="H63" s="32">
        <v>0</v>
      </c>
      <c r="I63" s="34">
        <f t="shared" si="16"/>
        <v>0.61</v>
      </c>
    </row>
    <row r="64" spans="1:9" ht="20.100000000000001" customHeight="1" x14ac:dyDescent="0.2">
      <c r="A64" s="61">
        <v>14.2</v>
      </c>
      <c r="B64" s="31">
        <f t="shared" ref="B64:B71" si="17">0.1*(B$72-B$62)+B63</f>
        <v>116.94214876033058</v>
      </c>
      <c r="C64" s="31">
        <f t="shared" si="16"/>
        <v>110.3305785123967</v>
      </c>
      <c r="D64" s="31">
        <f t="shared" si="16"/>
        <v>55.407025761124117</v>
      </c>
      <c r="E64" s="31">
        <f t="shared" si="16"/>
        <v>52.274473067915686</v>
      </c>
      <c r="F64" s="31">
        <f t="shared" si="16"/>
        <v>56.599999999999994</v>
      </c>
      <c r="G64" s="31">
        <f t="shared" si="16"/>
        <v>53.400000000000006</v>
      </c>
      <c r="H64" s="32">
        <v>0</v>
      </c>
      <c r="I64" s="34">
        <f t="shared" si="16"/>
        <v>0.62</v>
      </c>
    </row>
    <row r="65" spans="1:9" ht="20.100000000000001" customHeight="1" x14ac:dyDescent="0.2">
      <c r="A65" s="61">
        <v>14.3</v>
      </c>
      <c r="B65" s="31">
        <f t="shared" si="17"/>
        <v>118.59504132231405</v>
      </c>
      <c r="C65" s="31">
        <f t="shared" si="16"/>
        <v>111.77685950413223</v>
      </c>
      <c r="D65" s="31">
        <f t="shared" si="16"/>
        <v>56.190163934426224</v>
      </c>
      <c r="E65" s="31">
        <f t="shared" si="16"/>
        <v>52.959718969555027</v>
      </c>
      <c r="F65" s="31">
        <f t="shared" si="16"/>
        <v>57.399999999999991</v>
      </c>
      <c r="G65" s="31">
        <f t="shared" si="16"/>
        <v>54.100000000000009</v>
      </c>
      <c r="H65" s="32">
        <v>0</v>
      </c>
      <c r="I65" s="34">
        <f t="shared" si="16"/>
        <v>0.63</v>
      </c>
    </row>
    <row r="66" spans="1:9" ht="20.100000000000001" customHeight="1" x14ac:dyDescent="0.2">
      <c r="A66" s="61">
        <v>14.4</v>
      </c>
      <c r="B66" s="31">
        <f t="shared" si="17"/>
        <v>120.24793388429751</v>
      </c>
      <c r="C66" s="31">
        <f t="shared" si="16"/>
        <v>113.22314049586777</v>
      </c>
      <c r="D66" s="31">
        <f t="shared" si="16"/>
        <v>56.97330210772833</v>
      </c>
      <c r="E66" s="31">
        <f t="shared" si="16"/>
        <v>53.644964871194368</v>
      </c>
      <c r="F66" s="31">
        <f t="shared" si="16"/>
        <v>58.199999999999989</v>
      </c>
      <c r="G66" s="31">
        <f t="shared" si="16"/>
        <v>54.800000000000011</v>
      </c>
      <c r="H66" s="32">
        <v>0</v>
      </c>
      <c r="I66" s="34">
        <f t="shared" si="16"/>
        <v>0.64</v>
      </c>
    </row>
    <row r="67" spans="1:9" ht="20.100000000000001" customHeight="1" x14ac:dyDescent="0.2">
      <c r="A67" s="61">
        <v>14.5</v>
      </c>
      <c r="B67" s="31">
        <f t="shared" si="17"/>
        <v>121.90082644628097</v>
      </c>
      <c r="C67" s="31">
        <f t="shared" si="16"/>
        <v>114.6694214876033</v>
      </c>
      <c r="D67" s="31">
        <f t="shared" si="16"/>
        <v>57.756440281030436</v>
      </c>
      <c r="E67" s="31">
        <f t="shared" si="16"/>
        <v>54.330210772833709</v>
      </c>
      <c r="F67" s="31">
        <f t="shared" si="16"/>
        <v>58.999999999999986</v>
      </c>
      <c r="G67" s="31">
        <f t="shared" si="16"/>
        <v>55.500000000000014</v>
      </c>
      <c r="H67" s="32">
        <v>0</v>
      </c>
      <c r="I67" s="34">
        <f t="shared" si="16"/>
        <v>0.65</v>
      </c>
    </row>
    <row r="68" spans="1:9" ht="20.100000000000001" customHeight="1" x14ac:dyDescent="0.2">
      <c r="A68" s="61">
        <v>14.6</v>
      </c>
      <c r="B68" s="31">
        <f t="shared" si="17"/>
        <v>123.55371900826444</v>
      </c>
      <c r="C68" s="31">
        <f t="shared" si="16"/>
        <v>116.11570247933884</v>
      </c>
      <c r="D68" s="31">
        <f t="shared" si="16"/>
        <v>58.539578454332542</v>
      </c>
      <c r="E68" s="31">
        <f t="shared" si="16"/>
        <v>55.01545667447305</v>
      </c>
      <c r="F68" s="31">
        <f t="shared" si="16"/>
        <v>59.799999999999983</v>
      </c>
      <c r="G68" s="31">
        <f t="shared" si="16"/>
        <v>56.200000000000017</v>
      </c>
      <c r="H68" s="32">
        <v>0</v>
      </c>
      <c r="I68" s="34">
        <f t="shared" si="16"/>
        <v>0.66</v>
      </c>
    </row>
    <row r="69" spans="1:9" ht="20.100000000000001" customHeight="1" x14ac:dyDescent="0.2">
      <c r="A69" s="61">
        <v>14.7</v>
      </c>
      <c r="B69" s="31">
        <f t="shared" si="17"/>
        <v>125.2066115702479</v>
      </c>
      <c r="C69" s="31">
        <f t="shared" si="16"/>
        <v>117.56198347107437</v>
      </c>
      <c r="D69" s="31">
        <f t="shared" si="16"/>
        <v>59.322716627634648</v>
      </c>
      <c r="E69" s="31">
        <f t="shared" si="16"/>
        <v>55.700702576112391</v>
      </c>
      <c r="F69" s="31">
        <f t="shared" si="16"/>
        <v>60.59999999999998</v>
      </c>
      <c r="G69" s="31">
        <f t="shared" si="16"/>
        <v>56.90000000000002</v>
      </c>
      <c r="H69" s="32">
        <v>0</v>
      </c>
      <c r="I69" s="34">
        <f t="shared" si="16"/>
        <v>0.67</v>
      </c>
    </row>
    <row r="70" spans="1:9" ht="20.100000000000001" customHeight="1" x14ac:dyDescent="0.2">
      <c r="A70" s="61">
        <v>14.8</v>
      </c>
      <c r="B70" s="31">
        <f t="shared" si="17"/>
        <v>126.85950413223136</v>
      </c>
      <c r="C70" s="31">
        <f t="shared" si="16"/>
        <v>119.0082644628099</v>
      </c>
      <c r="D70" s="31">
        <f t="shared" si="16"/>
        <v>60.105854800936754</v>
      </c>
      <c r="E70" s="31">
        <f t="shared" si="16"/>
        <v>56.385948477751732</v>
      </c>
      <c r="F70" s="31">
        <f t="shared" si="16"/>
        <v>61.399999999999977</v>
      </c>
      <c r="G70" s="31">
        <f t="shared" si="16"/>
        <v>57.600000000000023</v>
      </c>
      <c r="H70" s="32">
        <v>0</v>
      </c>
      <c r="I70" s="34">
        <f t="shared" si="16"/>
        <v>0.68</v>
      </c>
    </row>
    <row r="71" spans="1:9" ht="20.100000000000001" customHeight="1" x14ac:dyDescent="0.2">
      <c r="A71" s="61">
        <v>14.9</v>
      </c>
      <c r="B71" s="31">
        <f t="shared" si="17"/>
        <v>128.51239669421483</v>
      </c>
      <c r="C71" s="31">
        <f t="shared" si="16"/>
        <v>120.45454545454544</v>
      </c>
      <c r="D71" s="31">
        <f t="shared" si="16"/>
        <v>60.88899297423886</v>
      </c>
      <c r="E71" s="31">
        <f t="shared" si="16"/>
        <v>57.071194379391073</v>
      </c>
      <c r="F71" s="31">
        <f t="shared" si="16"/>
        <v>62.199999999999974</v>
      </c>
      <c r="G71" s="31">
        <f t="shared" si="16"/>
        <v>58.300000000000026</v>
      </c>
      <c r="H71" s="32">
        <v>0</v>
      </c>
      <c r="I71" s="34">
        <f t="shared" si="16"/>
        <v>0.69000000000000006</v>
      </c>
    </row>
    <row r="72" spans="1:9" ht="20.100000000000001" customHeight="1" x14ac:dyDescent="0.2">
      <c r="A72" s="61">
        <v>15</v>
      </c>
      <c r="B72" s="31">
        <f t="shared" ref="B72" si="18">B24/$B$8</f>
        <v>130.16528925619835</v>
      </c>
      <c r="C72" s="31">
        <f>C24/$B$8</f>
        <v>121.900826446281</v>
      </c>
      <c r="D72" s="31">
        <f>B24*$B$10/$B$9</f>
        <v>61.672131147540981</v>
      </c>
      <c r="E72" s="31">
        <f>C24*$B$10/$B$9</f>
        <v>57.756440281030443</v>
      </c>
      <c r="F72" s="31">
        <f>B24*$B$10/$B$10</f>
        <v>63</v>
      </c>
      <c r="G72" s="31">
        <f>C24*$B$10/$B$10</f>
        <v>59</v>
      </c>
      <c r="H72" s="32">
        <v>0</v>
      </c>
      <c r="I72" s="34">
        <f>(D24+E24)/2</f>
        <v>0.7</v>
      </c>
    </row>
    <row r="73" spans="1:9" ht="20.100000000000001" customHeight="1" x14ac:dyDescent="0.2">
      <c r="A73" s="61">
        <v>15.1</v>
      </c>
      <c r="B73" s="31">
        <f>0.1*(B$82-B$72)+B72</f>
        <v>131.81818181818181</v>
      </c>
      <c r="C73" s="31">
        <f t="shared" ref="C73:I81" si="19">0.1*(C$82-C$72)+C72</f>
        <v>123.34710743801654</v>
      </c>
      <c r="D73" s="31">
        <f t="shared" si="19"/>
        <v>62.455269320843087</v>
      </c>
      <c r="E73" s="31">
        <f t="shared" si="19"/>
        <v>58.441686182669784</v>
      </c>
      <c r="F73" s="31">
        <f t="shared" si="19"/>
        <v>63.8</v>
      </c>
      <c r="G73" s="31">
        <f t="shared" si="19"/>
        <v>59.7</v>
      </c>
      <c r="H73" s="32">
        <v>0</v>
      </c>
      <c r="I73" s="34">
        <f t="shared" si="19"/>
        <v>0.7</v>
      </c>
    </row>
    <row r="74" spans="1:9" ht="20.100000000000001" customHeight="1" x14ac:dyDescent="0.2">
      <c r="A74" s="61">
        <v>15.2</v>
      </c>
      <c r="B74" s="31">
        <f t="shared" ref="B74:B81" si="20">0.1*(B$82-B$72)+B73</f>
        <v>133.47107438016528</v>
      </c>
      <c r="C74" s="31">
        <f t="shared" si="19"/>
        <v>124.79338842975207</v>
      </c>
      <c r="D74" s="31">
        <f t="shared" si="19"/>
        <v>63.238407494145193</v>
      </c>
      <c r="E74" s="31">
        <f t="shared" si="19"/>
        <v>59.126932084309132</v>
      </c>
      <c r="F74" s="31">
        <f t="shared" si="19"/>
        <v>64.599999999999994</v>
      </c>
      <c r="G74" s="31">
        <f t="shared" si="19"/>
        <v>60.400000000000006</v>
      </c>
      <c r="H74" s="32">
        <v>0</v>
      </c>
      <c r="I74" s="34">
        <f t="shared" si="19"/>
        <v>0.7</v>
      </c>
    </row>
    <row r="75" spans="1:9" ht="20.100000000000001" customHeight="1" x14ac:dyDescent="0.2">
      <c r="A75" s="61">
        <v>15.3</v>
      </c>
      <c r="B75" s="31">
        <f t="shared" si="20"/>
        <v>135.12396694214874</v>
      </c>
      <c r="C75" s="31">
        <f t="shared" si="19"/>
        <v>126.2396694214876</v>
      </c>
      <c r="D75" s="31">
        <f t="shared" si="19"/>
        <v>64.021545667447299</v>
      </c>
      <c r="E75" s="31">
        <f t="shared" si="19"/>
        <v>59.81217798594848</v>
      </c>
      <c r="F75" s="31">
        <f t="shared" si="19"/>
        <v>65.399999999999991</v>
      </c>
      <c r="G75" s="31">
        <f t="shared" si="19"/>
        <v>61.100000000000009</v>
      </c>
      <c r="H75" s="32">
        <v>0</v>
      </c>
      <c r="I75" s="34">
        <f t="shared" si="19"/>
        <v>0.7</v>
      </c>
    </row>
    <row r="76" spans="1:9" ht="20.100000000000001" customHeight="1" x14ac:dyDescent="0.2">
      <c r="A76" s="61">
        <v>15.4</v>
      </c>
      <c r="B76" s="31">
        <f t="shared" si="20"/>
        <v>136.7768595041322</v>
      </c>
      <c r="C76" s="31">
        <f t="shared" si="19"/>
        <v>127.68595041322314</v>
      </c>
      <c r="D76" s="31">
        <f t="shared" si="19"/>
        <v>64.804683840749405</v>
      </c>
      <c r="E76" s="31">
        <f t="shared" si="19"/>
        <v>60.497423887587829</v>
      </c>
      <c r="F76" s="31">
        <f t="shared" si="19"/>
        <v>66.199999999999989</v>
      </c>
      <c r="G76" s="31">
        <f t="shared" si="19"/>
        <v>61.800000000000011</v>
      </c>
      <c r="H76" s="32">
        <v>0</v>
      </c>
      <c r="I76" s="34">
        <f t="shared" si="19"/>
        <v>0.7</v>
      </c>
    </row>
    <row r="77" spans="1:9" ht="20.100000000000001" customHeight="1" x14ac:dyDescent="0.2">
      <c r="A77" s="61">
        <v>15.5</v>
      </c>
      <c r="B77" s="31">
        <f t="shared" si="20"/>
        <v>138.42975206611567</v>
      </c>
      <c r="C77" s="31">
        <f t="shared" si="19"/>
        <v>129.13223140495867</v>
      </c>
      <c r="D77" s="31">
        <f t="shared" si="19"/>
        <v>65.587822014051511</v>
      </c>
      <c r="E77" s="31">
        <f t="shared" si="19"/>
        <v>61.182669789227177</v>
      </c>
      <c r="F77" s="31">
        <f t="shared" si="19"/>
        <v>66.999999999999986</v>
      </c>
      <c r="G77" s="31">
        <f t="shared" si="19"/>
        <v>62.500000000000014</v>
      </c>
      <c r="H77" s="32">
        <v>0</v>
      </c>
      <c r="I77" s="34">
        <f t="shared" si="19"/>
        <v>0.7</v>
      </c>
    </row>
    <row r="78" spans="1:9" ht="20.100000000000001" customHeight="1" x14ac:dyDescent="0.2">
      <c r="A78" s="61">
        <v>15.6</v>
      </c>
      <c r="B78" s="31">
        <f t="shared" si="20"/>
        <v>140.08264462809913</v>
      </c>
      <c r="C78" s="31">
        <f t="shared" si="19"/>
        <v>130.57851239669421</v>
      </c>
      <c r="D78" s="31">
        <f t="shared" si="19"/>
        <v>66.370960187353617</v>
      </c>
      <c r="E78" s="31">
        <f t="shared" si="19"/>
        <v>61.867915690866525</v>
      </c>
      <c r="F78" s="31">
        <f t="shared" si="19"/>
        <v>67.799999999999983</v>
      </c>
      <c r="G78" s="31">
        <f t="shared" si="19"/>
        <v>63.200000000000017</v>
      </c>
      <c r="H78" s="32">
        <v>0</v>
      </c>
      <c r="I78" s="34">
        <f t="shared" si="19"/>
        <v>0.7</v>
      </c>
    </row>
    <row r="79" spans="1:9" ht="20.100000000000001" customHeight="1" x14ac:dyDescent="0.2">
      <c r="A79" s="61">
        <v>15.7</v>
      </c>
      <c r="B79" s="31">
        <f t="shared" si="20"/>
        <v>141.7355371900826</v>
      </c>
      <c r="C79" s="31">
        <f t="shared" si="19"/>
        <v>132.02479338842974</v>
      </c>
      <c r="D79" s="31">
        <f t="shared" si="19"/>
        <v>67.154098360655723</v>
      </c>
      <c r="E79" s="31">
        <f t="shared" si="19"/>
        <v>62.553161592505873</v>
      </c>
      <c r="F79" s="31">
        <f t="shared" si="19"/>
        <v>68.59999999999998</v>
      </c>
      <c r="G79" s="31">
        <f t="shared" si="19"/>
        <v>63.90000000000002</v>
      </c>
      <c r="H79" s="32">
        <v>0</v>
      </c>
      <c r="I79" s="34">
        <f t="shared" si="19"/>
        <v>0.7</v>
      </c>
    </row>
    <row r="80" spans="1:9" ht="20.100000000000001" customHeight="1" x14ac:dyDescent="0.2">
      <c r="A80" s="61">
        <v>15.8</v>
      </c>
      <c r="B80" s="31">
        <f t="shared" si="20"/>
        <v>143.38842975206606</v>
      </c>
      <c r="C80" s="31">
        <f t="shared" si="19"/>
        <v>133.47107438016528</v>
      </c>
      <c r="D80" s="31">
        <f t="shared" si="19"/>
        <v>67.937236533957829</v>
      </c>
      <c r="E80" s="31">
        <f t="shared" si="19"/>
        <v>63.238407494145221</v>
      </c>
      <c r="F80" s="31">
        <f t="shared" si="19"/>
        <v>69.399999999999977</v>
      </c>
      <c r="G80" s="31">
        <f t="shared" si="19"/>
        <v>64.600000000000023</v>
      </c>
      <c r="H80" s="32">
        <v>0</v>
      </c>
      <c r="I80" s="34">
        <f t="shared" si="19"/>
        <v>0.7</v>
      </c>
    </row>
    <row r="81" spans="1:9" ht="20.100000000000001" customHeight="1" x14ac:dyDescent="0.2">
      <c r="A81" s="61">
        <v>15.9</v>
      </c>
      <c r="B81" s="31">
        <f t="shared" si="20"/>
        <v>145.04132231404952</v>
      </c>
      <c r="C81" s="31">
        <f t="shared" si="19"/>
        <v>134.91735537190081</v>
      </c>
      <c r="D81" s="31">
        <f t="shared" si="19"/>
        <v>68.720374707259936</v>
      </c>
      <c r="E81" s="31">
        <f t="shared" si="19"/>
        <v>63.923653395784569</v>
      </c>
      <c r="F81" s="31">
        <f t="shared" si="19"/>
        <v>70.199999999999974</v>
      </c>
      <c r="G81" s="31">
        <f t="shared" si="19"/>
        <v>65.300000000000026</v>
      </c>
      <c r="H81" s="32">
        <v>0</v>
      </c>
      <c r="I81" s="34">
        <f t="shared" si="19"/>
        <v>0.7</v>
      </c>
    </row>
    <row r="82" spans="1:9" ht="20.100000000000001" customHeight="1" x14ac:dyDescent="0.2">
      <c r="A82" s="61">
        <v>16</v>
      </c>
      <c r="B82" s="31">
        <f t="shared" ref="B82" si="21">B25/$B$8</f>
        <v>146.69421487603307</v>
      </c>
      <c r="C82" s="31">
        <f>C25/$B$8</f>
        <v>136.36363636363637</v>
      </c>
      <c r="D82" s="31">
        <f>B25*$B$10/$B$9</f>
        <v>69.503512880562056</v>
      </c>
      <c r="E82" s="31">
        <f>C25*$B$10/$B$9</f>
        <v>64.608899297423889</v>
      </c>
      <c r="F82" s="31">
        <f>B25*$B$10/$B$10</f>
        <v>71</v>
      </c>
      <c r="G82" s="31">
        <f>C25*$B$10/$B$10</f>
        <v>66</v>
      </c>
      <c r="H82" s="32">
        <v>0</v>
      </c>
      <c r="I82" s="34">
        <f>(D25+E25)/2</f>
        <v>0.7</v>
      </c>
    </row>
    <row r="83" spans="1:9" ht="20.100000000000001" customHeight="1" x14ac:dyDescent="0.2">
      <c r="A83" s="61">
        <v>16.100000000000001</v>
      </c>
      <c r="B83" s="31">
        <f>0.1*(B$92-B$82)+B82</f>
        <v>147.93388429752068</v>
      </c>
      <c r="C83" s="31">
        <f t="shared" ref="C83:I91" si="22">0.1*(C$92-C$82)+C82</f>
        <v>137.80991735537191</v>
      </c>
      <c r="D83" s="31">
        <f t="shared" si="22"/>
        <v>70.090866510538632</v>
      </c>
      <c r="E83" s="31">
        <f t="shared" si="22"/>
        <v>65.294145199063237</v>
      </c>
      <c r="F83" s="31">
        <f t="shared" si="22"/>
        <v>71.599999999999994</v>
      </c>
      <c r="G83" s="31">
        <f t="shared" si="22"/>
        <v>66.7</v>
      </c>
      <c r="H83" s="32">
        <v>0</v>
      </c>
      <c r="I83" s="34">
        <f t="shared" si="22"/>
        <v>0.7</v>
      </c>
    </row>
    <row r="84" spans="1:9" ht="20.100000000000001" customHeight="1" x14ac:dyDescent="0.2">
      <c r="A84" s="61">
        <v>16.2</v>
      </c>
      <c r="B84" s="31">
        <f t="shared" ref="B84:B91" si="23">0.1*(B$92-B$82)+B83</f>
        <v>149.17355371900828</v>
      </c>
      <c r="C84" s="31">
        <f t="shared" si="22"/>
        <v>139.25619834710744</v>
      </c>
      <c r="D84" s="31">
        <f t="shared" si="22"/>
        <v>70.678220140515208</v>
      </c>
      <c r="E84" s="31">
        <f t="shared" si="22"/>
        <v>65.979391100702586</v>
      </c>
      <c r="F84" s="31">
        <f t="shared" si="22"/>
        <v>72.199999999999989</v>
      </c>
      <c r="G84" s="31">
        <f t="shared" si="22"/>
        <v>67.400000000000006</v>
      </c>
      <c r="H84" s="32">
        <v>0</v>
      </c>
      <c r="I84" s="34">
        <f t="shared" si="22"/>
        <v>0.7</v>
      </c>
    </row>
    <row r="85" spans="1:9" ht="20.100000000000001" customHeight="1" x14ac:dyDescent="0.2">
      <c r="A85" s="61">
        <v>16.3</v>
      </c>
      <c r="B85" s="31">
        <f t="shared" si="23"/>
        <v>150.41322314049589</v>
      </c>
      <c r="C85" s="31">
        <f t="shared" si="22"/>
        <v>140.70247933884298</v>
      </c>
      <c r="D85" s="31">
        <f t="shared" si="22"/>
        <v>71.265573770491784</v>
      </c>
      <c r="E85" s="31">
        <f t="shared" si="22"/>
        <v>66.664637002341934</v>
      </c>
      <c r="F85" s="31">
        <f t="shared" si="22"/>
        <v>72.799999999999983</v>
      </c>
      <c r="G85" s="31">
        <f t="shared" si="22"/>
        <v>68.100000000000009</v>
      </c>
      <c r="H85" s="32">
        <v>0</v>
      </c>
      <c r="I85" s="34">
        <f t="shared" si="22"/>
        <v>0.7</v>
      </c>
    </row>
    <row r="86" spans="1:9" ht="20.100000000000001" customHeight="1" x14ac:dyDescent="0.2">
      <c r="A86" s="61">
        <v>16.399999999999999</v>
      </c>
      <c r="B86" s="31">
        <f t="shared" si="23"/>
        <v>151.65289256198349</v>
      </c>
      <c r="C86" s="31">
        <f t="shared" si="22"/>
        <v>142.14876033057851</v>
      </c>
      <c r="D86" s="31">
        <f t="shared" si="22"/>
        <v>71.85292740046836</v>
      </c>
      <c r="E86" s="31">
        <f t="shared" si="22"/>
        <v>67.349882903981282</v>
      </c>
      <c r="F86" s="31">
        <f t="shared" si="22"/>
        <v>73.399999999999977</v>
      </c>
      <c r="G86" s="31">
        <f t="shared" si="22"/>
        <v>68.800000000000011</v>
      </c>
      <c r="H86" s="32">
        <v>0</v>
      </c>
      <c r="I86" s="34">
        <f t="shared" si="22"/>
        <v>0.7</v>
      </c>
    </row>
    <row r="87" spans="1:9" ht="20.100000000000001" customHeight="1" x14ac:dyDescent="0.2">
      <c r="A87" s="61">
        <v>16.5</v>
      </c>
      <c r="B87" s="31">
        <f t="shared" si="23"/>
        <v>152.8925619834711</v>
      </c>
      <c r="C87" s="31">
        <f t="shared" si="22"/>
        <v>143.59504132231405</v>
      </c>
      <c r="D87" s="31">
        <f t="shared" si="22"/>
        <v>72.440281030444936</v>
      </c>
      <c r="E87" s="31">
        <f t="shared" si="22"/>
        <v>68.03512880562063</v>
      </c>
      <c r="F87" s="31">
        <f t="shared" si="22"/>
        <v>73.999999999999972</v>
      </c>
      <c r="G87" s="31">
        <f t="shared" si="22"/>
        <v>69.500000000000014</v>
      </c>
      <c r="H87" s="32">
        <v>0</v>
      </c>
      <c r="I87" s="34">
        <f t="shared" si="22"/>
        <v>0.7</v>
      </c>
    </row>
    <row r="88" spans="1:9" ht="20.100000000000001" customHeight="1" x14ac:dyDescent="0.2">
      <c r="A88" s="61">
        <v>16.600000000000001</v>
      </c>
      <c r="B88" s="31">
        <f t="shared" si="23"/>
        <v>154.1322314049587</v>
      </c>
      <c r="C88" s="31">
        <f t="shared" si="22"/>
        <v>145.04132231404958</v>
      </c>
      <c r="D88" s="31">
        <f t="shared" si="22"/>
        <v>73.027634660421512</v>
      </c>
      <c r="E88" s="31">
        <f t="shared" si="22"/>
        <v>68.720374707259978</v>
      </c>
      <c r="F88" s="31">
        <f t="shared" si="22"/>
        <v>74.599999999999966</v>
      </c>
      <c r="G88" s="31">
        <f t="shared" si="22"/>
        <v>70.200000000000017</v>
      </c>
      <c r="H88" s="32">
        <v>0</v>
      </c>
      <c r="I88" s="34">
        <f t="shared" si="22"/>
        <v>0.7</v>
      </c>
    </row>
    <row r="89" spans="1:9" ht="20.100000000000001" customHeight="1" x14ac:dyDescent="0.2">
      <c r="A89" s="61">
        <v>16.7</v>
      </c>
      <c r="B89" s="31">
        <f t="shared" si="23"/>
        <v>155.37190082644631</v>
      </c>
      <c r="C89" s="31">
        <f t="shared" si="22"/>
        <v>146.48760330578511</v>
      </c>
      <c r="D89" s="31">
        <f t="shared" si="22"/>
        <v>73.614988290398088</v>
      </c>
      <c r="E89" s="31">
        <f t="shared" si="22"/>
        <v>69.405620608899326</v>
      </c>
      <c r="F89" s="31">
        <f t="shared" si="22"/>
        <v>75.19999999999996</v>
      </c>
      <c r="G89" s="31">
        <f t="shared" si="22"/>
        <v>70.90000000000002</v>
      </c>
      <c r="H89" s="32">
        <v>0</v>
      </c>
      <c r="I89" s="34">
        <f t="shared" si="22"/>
        <v>0.7</v>
      </c>
    </row>
    <row r="90" spans="1:9" ht="20.100000000000001" customHeight="1" x14ac:dyDescent="0.2">
      <c r="A90" s="61">
        <v>16.8</v>
      </c>
      <c r="B90" s="31">
        <f t="shared" si="23"/>
        <v>156.61157024793391</v>
      </c>
      <c r="C90" s="31">
        <f t="shared" si="22"/>
        <v>147.93388429752065</v>
      </c>
      <c r="D90" s="31">
        <f t="shared" si="22"/>
        <v>74.202341920374664</v>
      </c>
      <c r="E90" s="31">
        <f t="shared" si="22"/>
        <v>70.090866510538675</v>
      </c>
      <c r="F90" s="31">
        <f t="shared" si="22"/>
        <v>75.799999999999955</v>
      </c>
      <c r="G90" s="31">
        <f t="shared" si="22"/>
        <v>71.600000000000023</v>
      </c>
      <c r="H90" s="32">
        <v>0</v>
      </c>
      <c r="I90" s="34">
        <f t="shared" si="22"/>
        <v>0.7</v>
      </c>
    </row>
    <row r="91" spans="1:9" ht="20.100000000000001" customHeight="1" x14ac:dyDescent="0.2">
      <c r="A91" s="61">
        <v>16.899999999999999</v>
      </c>
      <c r="B91" s="31">
        <f t="shared" si="23"/>
        <v>157.85123966942152</v>
      </c>
      <c r="C91" s="31">
        <f t="shared" si="22"/>
        <v>149.38016528925618</v>
      </c>
      <c r="D91" s="31">
        <f t="shared" si="22"/>
        <v>74.78969555035124</v>
      </c>
      <c r="E91" s="31">
        <f t="shared" si="22"/>
        <v>70.776112412178023</v>
      </c>
      <c r="F91" s="31">
        <f t="shared" si="22"/>
        <v>76.399999999999949</v>
      </c>
      <c r="G91" s="31">
        <f t="shared" si="22"/>
        <v>72.300000000000026</v>
      </c>
      <c r="H91" s="32">
        <v>0</v>
      </c>
      <c r="I91" s="34">
        <f t="shared" si="22"/>
        <v>0.7</v>
      </c>
    </row>
    <row r="92" spans="1:9" ht="20.100000000000001" customHeight="1" x14ac:dyDescent="0.2">
      <c r="A92" s="61">
        <v>17</v>
      </c>
      <c r="B92" s="31">
        <f t="shared" ref="B92" si="24">B26/$B$8</f>
        <v>159.09090909090909</v>
      </c>
      <c r="C92" s="31">
        <f>C26/$B$8</f>
        <v>150.82644628099175</v>
      </c>
      <c r="D92" s="31">
        <f>B26*$B$10/$B$9</f>
        <v>75.377049180327873</v>
      </c>
      <c r="E92" s="31">
        <f>C26*$B$10/$B$9</f>
        <v>71.461358313817328</v>
      </c>
      <c r="F92" s="31">
        <f>B26*$B$10/$B$10</f>
        <v>77</v>
      </c>
      <c r="G92" s="31">
        <f>C26*$B$10/$B$10</f>
        <v>73</v>
      </c>
      <c r="H92" s="32">
        <v>0</v>
      </c>
      <c r="I92" s="34">
        <f>(D26+E26)/2</f>
        <v>0.7</v>
      </c>
    </row>
    <row r="93" spans="1:9" ht="20.100000000000001" customHeight="1" x14ac:dyDescent="0.2">
      <c r="A93" s="61">
        <v>17.100000000000001</v>
      </c>
      <c r="B93" s="31">
        <f>0.1*(B$102-B$92)+B92</f>
        <v>161.5702479338843</v>
      </c>
      <c r="C93" s="31">
        <f t="shared" ref="C93:I101" si="25">0.1*(C$102-C$92)+C92</f>
        <v>152.8925619834711</v>
      </c>
      <c r="D93" s="31">
        <f t="shared" si="25"/>
        <v>76.551756440281039</v>
      </c>
      <c r="E93" s="31">
        <f t="shared" si="25"/>
        <v>72.440281030444964</v>
      </c>
      <c r="F93" s="31">
        <f t="shared" si="25"/>
        <v>78.2</v>
      </c>
      <c r="G93" s="31">
        <f t="shared" si="25"/>
        <v>74</v>
      </c>
      <c r="H93" s="32">
        <v>0</v>
      </c>
      <c r="I93" s="34">
        <f t="shared" si="25"/>
        <v>0.7</v>
      </c>
    </row>
    <row r="94" spans="1:9" ht="20.100000000000001" customHeight="1" x14ac:dyDescent="0.2">
      <c r="A94" s="61">
        <v>17.2</v>
      </c>
      <c r="B94" s="31">
        <f t="shared" ref="B94:B101" si="26">0.1*(B$102-B$92)+B93</f>
        <v>164.04958677685951</v>
      </c>
      <c r="C94" s="31">
        <f t="shared" si="25"/>
        <v>154.95867768595045</v>
      </c>
      <c r="D94" s="31">
        <f t="shared" si="25"/>
        <v>77.726463700234206</v>
      </c>
      <c r="E94" s="31">
        <f t="shared" si="25"/>
        <v>73.419203747072601</v>
      </c>
      <c r="F94" s="31">
        <f t="shared" si="25"/>
        <v>79.400000000000006</v>
      </c>
      <c r="G94" s="31">
        <f t="shared" si="25"/>
        <v>75</v>
      </c>
      <c r="H94" s="32">
        <v>0</v>
      </c>
      <c r="I94" s="34">
        <f t="shared" si="25"/>
        <v>0.7</v>
      </c>
    </row>
    <row r="95" spans="1:9" ht="20.100000000000001" customHeight="1" x14ac:dyDescent="0.2">
      <c r="A95" s="61">
        <v>17.3</v>
      </c>
      <c r="B95" s="31">
        <f t="shared" si="26"/>
        <v>166.52892561983472</v>
      </c>
      <c r="C95" s="31">
        <f t="shared" si="25"/>
        <v>157.0247933884298</v>
      </c>
      <c r="D95" s="31">
        <f t="shared" si="25"/>
        <v>78.901170960187372</v>
      </c>
      <c r="E95" s="31">
        <f t="shared" si="25"/>
        <v>74.398126463700237</v>
      </c>
      <c r="F95" s="31">
        <f t="shared" si="25"/>
        <v>80.600000000000009</v>
      </c>
      <c r="G95" s="31">
        <f t="shared" si="25"/>
        <v>76</v>
      </c>
      <c r="H95" s="32">
        <v>0</v>
      </c>
      <c r="I95" s="34">
        <f t="shared" si="25"/>
        <v>0.7</v>
      </c>
    </row>
    <row r="96" spans="1:9" ht="20.100000000000001" customHeight="1" x14ac:dyDescent="0.2">
      <c r="A96" s="61">
        <v>17.399999999999999</v>
      </c>
      <c r="B96" s="31">
        <f t="shared" si="26"/>
        <v>169.00826446280993</v>
      </c>
      <c r="C96" s="31">
        <f t="shared" si="25"/>
        <v>159.09090909090915</v>
      </c>
      <c r="D96" s="31">
        <f t="shared" si="25"/>
        <v>80.075878220140538</v>
      </c>
      <c r="E96" s="31">
        <f t="shared" si="25"/>
        <v>75.377049180327873</v>
      </c>
      <c r="F96" s="31">
        <f t="shared" si="25"/>
        <v>81.800000000000011</v>
      </c>
      <c r="G96" s="31">
        <f t="shared" si="25"/>
        <v>77</v>
      </c>
      <c r="H96" s="32">
        <v>0</v>
      </c>
      <c r="I96" s="34">
        <f t="shared" si="25"/>
        <v>0.7</v>
      </c>
    </row>
    <row r="97" spans="1:9" ht="20.100000000000001" customHeight="1" x14ac:dyDescent="0.2">
      <c r="A97" s="61">
        <v>17.5</v>
      </c>
      <c r="B97" s="31">
        <f t="shared" si="26"/>
        <v>171.48760330578514</v>
      </c>
      <c r="C97" s="31">
        <f t="shared" si="25"/>
        <v>161.1570247933885</v>
      </c>
      <c r="D97" s="31">
        <f t="shared" si="25"/>
        <v>81.250585480093704</v>
      </c>
      <c r="E97" s="31">
        <f t="shared" si="25"/>
        <v>76.355971896955509</v>
      </c>
      <c r="F97" s="31">
        <f t="shared" si="25"/>
        <v>83.000000000000014</v>
      </c>
      <c r="G97" s="31">
        <f t="shared" si="25"/>
        <v>78</v>
      </c>
      <c r="H97" s="32">
        <v>0</v>
      </c>
      <c r="I97" s="34">
        <f t="shared" si="25"/>
        <v>0.7</v>
      </c>
    </row>
    <row r="98" spans="1:9" ht="20.100000000000001" customHeight="1" x14ac:dyDescent="0.2">
      <c r="A98" s="61">
        <v>17.600000000000001</v>
      </c>
      <c r="B98" s="31">
        <f t="shared" si="26"/>
        <v>173.96694214876035</v>
      </c>
      <c r="C98" s="31">
        <f t="shared" si="25"/>
        <v>163.22314049586785</v>
      </c>
      <c r="D98" s="31">
        <f t="shared" si="25"/>
        <v>82.425292740046871</v>
      </c>
      <c r="E98" s="31">
        <f t="shared" si="25"/>
        <v>77.334894613583145</v>
      </c>
      <c r="F98" s="31">
        <f t="shared" si="25"/>
        <v>84.200000000000017</v>
      </c>
      <c r="G98" s="31">
        <f t="shared" si="25"/>
        <v>79</v>
      </c>
      <c r="H98" s="32">
        <v>0</v>
      </c>
      <c r="I98" s="34">
        <f t="shared" si="25"/>
        <v>0.7</v>
      </c>
    </row>
    <row r="99" spans="1:9" ht="20.100000000000001" customHeight="1" x14ac:dyDescent="0.2">
      <c r="A99" s="61">
        <v>17.7</v>
      </c>
      <c r="B99" s="31">
        <f t="shared" si="26"/>
        <v>176.44628099173556</v>
      </c>
      <c r="C99" s="31">
        <f t="shared" si="25"/>
        <v>165.2892561983472</v>
      </c>
      <c r="D99" s="31">
        <f t="shared" si="25"/>
        <v>83.600000000000037</v>
      </c>
      <c r="E99" s="31">
        <f t="shared" si="25"/>
        <v>78.313817330210782</v>
      </c>
      <c r="F99" s="31">
        <f t="shared" si="25"/>
        <v>85.40000000000002</v>
      </c>
      <c r="G99" s="31">
        <f t="shared" si="25"/>
        <v>80</v>
      </c>
      <c r="H99" s="32">
        <v>0</v>
      </c>
      <c r="I99" s="34">
        <f t="shared" si="25"/>
        <v>0.7</v>
      </c>
    </row>
    <row r="100" spans="1:9" ht="20.100000000000001" customHeight="1" x14ac:dyDescent="0.2">
      <c r="A100" s="61">
        <v>17.8</v>
      </c>
      <c r="B100" s="31">
        <f t="shared" si="26"/>
        <v>178.92561983471077</v>
      </c>
      <c r="C100" s="31">
        <f t="shared" si="25"/>
        <v>167.35537190082655</v>
      </c>
      <c r="D100" s="31">
        <f t="shared" si="25"/>
        <v>84.774707259953203</v>
      </c>
      <c r="E100" s="31">
        <f t="shared" si="25"/>
        <v>79.292740046838418</v>
      </c>
      <c r="F100" s="31">
        <f t="shared" si="25"/>
        <v>86.600000000000023</v>
      </c>
      <c r="G100" s="31">
        <f t="shared" si="25"/>
        <v>81</v>
      </c>
      <c r="H100" s="32">
        <v>0</v>
      </c>
      <c r="I100" s="34">
        <f t="shared" si="25"/>
        <v>0.7</v>
      </c>
    </row>
    <row r="101" spans="1:9" ht="20.100000000000001" customHeight="1" x14ac:dyDescent="0.2">
      <c r="A101" s="61">
        <v>17.899999999999999</v>
      </c>
      <c r="B101" s="31">
        <f t="shared" si="26"/>
        <v>181.40495867768598</v>
      </c>
      <c r="C101" s="31">
        <f t="shared" si="25"/>
        <v>169.42148760330591</v>
      </c>
      <c r="D101" s="31">
        <f t="shared" si="25"/>
        <v>85.949414519906369</v>
      </c>
      <c r="E101" s="31">
        <f t="shared" si="25"/>
        <v>80.271662763466054</v>
      </c>
      <c r="F101" s="31">
        <f t="shared" si="25"/>
        <v>87.800000000000026</v>
      </c>
      <c r="G101" s="31">
        <f t="shared" si="25"/>
        <v>82</v>
      </c>
      <c r="H101" s="32">
        <v>0</v>
      </c>
      <c r="I101" s="34">
        <f t="shared" si="25"/>
        <v>0.7</v>
      </c>
    </row>
    <row r="102" spans="1:9" ht="20.100000000000001" customHeight="1" x14ac:dyDescent="0.2">
      <c r="A102" s="61">
        <v>18</v>
      </c>
      <c r="B102" s="31">
        <f t="shared" ref="B102" si="27">B27/$B$8</f>
        <v>183.88429752066116</v>
      </c>
      <c r="C102" s="31">
        <f>C27/$B$8</f>
        <v>171.48760330578514</v>
      </c>
      <c r="D102" s="31">
        <f>B27*$B$10/$B$9</f>
        <v>87.124121779859479</v>
      </c>
      <c r="E102" s="31">
        <f>C27*$B$10/$B$9</f>
        <v>81.250585480093662</v>
      </c>
      <c r="F102" s="31">
        <f>B27*$B$10/$B$10</f>
        <v>89</v>
      </c>
      <c r="G102" s="31">
        <f>C27*$B$10/$B$10</f>
        <v>82.999999999999986</v>
      </c>
      <c r="H102" s="32">
        <v>0</v>
      </c>
      <c r="I102" s="34">
        <f>(D27+E27)/2</f>
        <v>0.7</v>
      </c>
    </row>
    <row r="103" spans="1:9" ht="20.100000000000001" customHeight="1" x14ac:dyDescent="0.2">
      <c r="A103" s="61">
        <v>18.100000000000001</v>
      </c>
      <c r="B103" s="31">
        <f>0.1*(B$112-B$102)+B102</f>
        <v>186.36363636363637</v>
      </c>
      <c r="C103" s="31">
        <f t="shared" ref="C103:I111" si="28">0.1*(C$112-C$102)+C102</f>
        <v>173.76033057851242</v>
      </c>
      <c r="D103" s="31">
        <f t="shared" si="28"/>
        <v>88.298829039812645</v>
      </c>
      <c r="E103" s="31">
        <f t="shared" si="28"/>
        <v>82.327400468384056</v>
      </c>
      <c r="F103" s="31">
        <f t="shared" si="28"/>
        <v>90.2</v>
      </c>
      <c r="G103" s="31">
        <f t="shared" si="28"/>
        <v>84.1</v>
      </c>
      <c r="H103" s="32">
        <v>0</v>
      </c>
      <c r="I103" s="34">
        <f t="shared" si="28"/>
        <v>0.71</v>
      </c>
    </row>
    <row r="104" spans="1:9" ht="20.100000000000001" customHeight="1" x14ac:dyDescent="0.2">
      <c r="A104" s="61">
        <v>18.2</v>
      </c>
      <c r="B104" s="31">
        <f t="shared" ref="B104:B111" si="29">0.1*(B$112-B$102)+B103</f>
        <v>188.84297520661158</v>
      </c>
      <c r="C104" s="31">
        <f t="shared" si="28"/>
        <v>176.0330578512397</v>
      </c>
      <c r="D104" s="31">
        <f t="shared" si="28"/>
        <v>89.473536299765811</v>
      </c>
      <c r="E104" s="31">
        <f t="shared" si="28"/>
        <v>83.40421545667445</v>
      </c>
      <c r="F104" s="31">
        <f t="shared" si="28"/>
        <v>91.4</v>
      </c>
      <c r="G104" s="31">
        <f t="shared" si="28"/>
        <v>85.2</v>
      </c>
      <c r="H104" s="32">
        <v>0</v>
      </c>
      <c r="I104" s="34">
        <f t="shared" si="28"/>
        <v>0.72</v>
      </c>
    </row>
    <row r="105" spans="1:9" ht="20.100000000000001" customHeight="1" x14ac:dyDescent="0.2">
      <c r="A105" s="61">
        <v>18.3</v>
      </c>
      <c r="B105" s="31">
        <f t="shared" si="29"/>
        <v>191.32231404958679</v>
      </c>
      <c r="C105" s="31">
        <f t="shared" si="28"/>
        <v>178.30578512396698</v>
      </c>
      <c r="D105" s="31">
        <f t="shared" si="28"/>
        <v>90.648243559718978</v>
      </c>
      <c r="E105" s="31">
        <f t="shared" si="28"/>
        <v>84.481030444964844</v>
      </c>
      <c r="F105" s="31">
        <f t="shared" si="28"/>
        <v>92.600000000000009</v>
      </c>
      <c r="G105" s="31">
        <f t="shared" si="28"/>
        <v>86.300000000000011</v>
      </c>
      <c r="H105" s="32">
        <v>0</v>
      </c>
      <c r="I105" s="34">
        <f t="shared" si="28"/>
        <v>0.73</v>
      </c>
    </row>
    <row r="106" spans="1:9" ht="20.100000000000001" customHeight="1" x14ac:dyDescent="0.2">
      <c r="A106" s="61">
        <v>18.399999999999999</v>
      </c>
      <c r="B106" s="31">
        <f t="shared" si="29"/>
        <v>193.801652892562</v>
      </c>
      <c r="C106" s="31">
        <f t="shared" si="28"/>
        <v>180.57851239669426</v>
      </c>
      <c r="D106" s="31">
        <f t="shared" si="28"/>
        <v>91.822950819672144</v>
      </c>
      <c r="E106" s="31">
        <f t="shared" si="28"/>
        <v>85.557845433255238</v>
      </c>
      <c r="F106" s="31">
        <f t="shared" si="28"/>
        <v>93.800000000000011</v>
      </c>
      <c r="G106" s="31">
        <f t="shared" si="28"/>
        <v>87.40000000000002</v>
      </c>
      <c r="H106" s="32">
        <v>0</v>
      </c>
      <c r="I106" s="34">
        <f t="shared" si="28"/>
        <v>0.74</v>
      </c>
    </row>
    <row r="107" spans="1:9" ht="20.100000000000001" customHeight="1" x14ac:dyDescent="0.2">
      <c r="A107" s="61">
        <v>18.5</v>
      </c>
      <c r="B107" s="31">
        <f t="shared" si="29"/>
        <v>196.28099173553721</v>
      </c>
      <c r="C107" s="31">
        <f t="shared" si="28"/>
        <v>182.85123966942155</v>
      </c>
      <c r="D107" s="31">
        <f t="shared" si="28"/>
        <v>92.99765807962531</v>
      </c>
      <c r="E107" s="31">
        <f t="shared" si="28"/>
        <v>86.634660421545632</v>
      </c>
      <c r="F107" s="31">
        <f t="shared" si="28"/>
        <v>95.000000000000014</v>
      </c>
      <c r="G107" s="31">
        <f t="shared" si="28"/>
        <v>88.500000000000028</v>
      </c>
      <c r="H107" s="32">
        <v>0</v>
      </c>
      <c r="I107" s="34">
        <f t="shared" si="28"/>
        <v>0.75</v>
      </c>
    </row>
    <row r="108" spans="1:9" ht="20.100000000000001" customHeight="1" x14ac:dyDescent="0.2">
      <c r="A108" s="61">
        <v>18.600000000000001</v>
      </c>
      <c r="B108" s="31">
        <f t="shared" si="29"/>
        <v>198.76033057851242</v>
      </c>
      <c r="C108" s="31">
        <f t="shared" si="28"/>
        <v>185.12396694214883</v>
      </c>
      <c r="D108" s="31">
        <f t="shared" si="28"/>
        <v>94.172365339578477</v>
      </c>
      <c r="E108" s="31">
        <f t="shared" si="28"/>
        <v>87.711475409836027</v>
      </c>
      <c r="F108" s="31">
        <f t="shared" si="28"/>
        <v>96.200000000000017</v>
      </c>
      <c r="G108" s="31">
        <f t="shared" si="28"/>
        <v>89.600000000000037</v>
      </c>
      <c r="H108" s="32">
        <v>0</v>
      </c>
      <c r="I108" s="34">
        <f t="shared" si="28"/>
        <v>0.76</v>
      </c>
    </row>
    <row r="109" spans="1:9" ht="20.100000000000001" customHeight="1" x14ac:dyDescent="0.2">
      <c r="A109" s="61">
        <v>18.7</v>
      </c>
      <c r="B109" s="31">
        <f t="shared" si="29"/>
        <v>201.23966942148763</v>
      </c>
      <c r="C109" s="31">
        <f t="shared" si="28"/>
        <v>187.39669421487611</v>
      </c>
      <c r="D109" s="31">
        <f t="shared" si="28"/>
        <v>95.347072599531643</v>
      </c>
      <c r="E109" s="31">
        <f t="shared" si="28"/>
        <v>88.788290398126421</v>
      </c>
      <c r="F109" s="31">
        <f t="shared" si="28"/>
        <v>97.40000000000002</v>
      </c>
      <c r="G109" s="31">
        <f t="shared" si="28"/>
        <v>90.700000000000045</v>
      </c>
      <c r="H109" s="32">
        <v>0</v>
      </c>
      <c r="I109" s="34">
        <f t="shared" si="28"/>
        <v>0.77</v>
      </c>
    </row>
    <row r="110" spans="1:9" ht="20.100000000000001" customHeight="1" x14ac:dyDescent="0.2">
      <c r="A110" s="61">
        <v>18.8</v>
      </c>
      <c r="B110" s="31">
        <f t="shared" si="29"/>
        <v>203.71900826446284</v>
      </c>
      <c r="C110" s="31">
        <f t="shared" si="28"/>
        <v>189.66942148760339</v>
      </c>
      <c r="D110" s="31">
        <f t="shared" si="28"/>
        <v>96.521779859484809</v>
      </c>
      <c r="E110" s="31">
        <f t="shared" si="28"/>
        <v>89.865105386416815</v>
      </c>
      <c r="F110" s="31">
        <f t="shared" si="28"/>
        <v>98.600000000000023</v>
      </c>
      <c r="G110" s="31">
        <f t="shared" si="28"/>
        <v>91.800000000000054</v>
      </c>
      <c r="H110" s="32">
        <v>0</v>
      </c>
      <c r="I110" s="34">
        <f t="shared" si="28"/>
        <v>0.78</v>
      </c>
    </row>
    <row r="111" spans="1:9" ht="20.100000000000001" customHeight="1" x14ac:dyDescent="0.2">
      <c r="A111" s="61">
        <v>18.899999999999999</v>
      </c>
      <c r="B111" s="31">
        <f t="shared" si="29"/>
        <v>206.19834710743805</v>
      </c>
      <c r="C111" s="31">
        <f t="shared" si="28"/>
        <v>191.94214876033067</v>
      </c>
      <c r="D111" s="31">
        <f t="shared" si="28"/>
        <v>97.696487119437975</v>
      </c>
      <c r="E111" s="31">
        <f t="shared" si="28"/>
        <v>90.941920374707209</v>
      </c>
      <c r="F111" s="31">
        <f t="shared" si="28"/>
        <v>99.800000000000026</v>
      </c>
      <c r="G111" s="31">
        <f t="shared" si="28"/>
        <v>92.900000000000063</v>
      </c>
      <c r="H111" s="32">
        <v>0</v>
      </c>
      <c r="I111" s="34">
        <f t="shared" si="28"/>
        <v>0.79</v>
      </c>
    </row>
    <row r="112" spans="1:9" ht="20.100000000000001" customHeight="1" x14ac:dyDescent="0.2">
      <c r="A112" s="61">
        <v>19</v>
      </c>
      <c r="B112" s="31">
        <f t="shared" ref="B112" si="30">B28/$B$8</f>
        <v>208.67768595041323</v>
      </c>
      <c r="C112" s="31">
        <f>C28/$B$8</f>
        <v>194.21487603305786</v>
      </c>
      <c r="D112" s="31">
        <f>B28*$B$10/$B$9</f>
        <v>98.871194379391099</v>
      </c>
      <c r="E112" s="31">
        <f>C28*$B$10/$B$9</f>
        <v>92.01873536299766</v>
      </c>
      <c r="F112" s="31">
        <f>B28*$B$10/$B$10</f>
        <v>101</v>
      </c>
      <c r="G112" s="31">
        <f>C28*$B$10/$B$10</f>
        <v>94.000000000000014</v>
      </c>
      <c r="H112" s="32">
        <v>0</v>
      </c>
      <c r="I112" s="34">
        <f>(D28+E28)/2</f>
        <v>0.8</v>
      </c>
    </row>
    <row r="113" spans="1:9" ht="20.100000000000001" customHeight="1" x14ac:dyDescent="0.2">
      <c r="A113" s="61">
        <v>19.100000000000001</v>
      </c>
      <c r="B113" s="31">
        <f>0.1*(B$117-B$112)/0.5+B112</f>
        <v>210.74380165289259</v>
      </c>
      <c r="C113" s="31">
        <f t="shared" ref="C113:I116" si="31">0.1*(C$117-C$112)/0.5+C112</f>
        <v>196.69421487603307</v>
      </c>
      <c r="D113" s="31">
        <f t="shared" si="31"/>
        <v>99.850117096018735</v>
      </c>
      <c r="E113" s="31">
        <f t="shared" si="31"/>
        <v>93.193442622950826</v>
      </c>
      <c r="F113" s="31">
        <f t="shared" si="31"/>
        <v>102</v>
      </c>
      <c r="G113" s="31">
        <f t="shared" si="31"/>
        <v>95.200000000000017</v>
      </c>
      <c r="H113" s="32">
        <v>0</v>
      </c>
      <c r="I113" s="34">
        <f t="shared" si="31"/>
        <v>0.8</v>
      </c>
    </row>
    <row r="114" spans="1:9" ht="20.100000000000001" customHeight="1" x14ac:dyDescent="0.2">
      <c r="A114" s="61">
        <v>19.2</v>
      </c>
      <c r="B114" s="31">
        <f t="shared" ref="B114:B116" si="32">0.1*(B$117-B$112)/0.5+B113</f>
        <v>212.80991735537194</v>
      </c>
      <c r="C114" s="31">
        <f t="shared" si="31"/>
        <v>199.17355371900828</v>
      </c>
      <c r="D114" s="31">
        <f t="shared" si="31"/>
        <v>100.82903981264637</v>
      </c>
      <c r="E114" s="31">
        <f t="shared" si="31"/>
        <v>94.368149882903992</v>
      </c>
      <c r="F114" s="31">
        <f t="shared" si="31"/>
        <v>103</v>
      </c>
      <c r="G114" s="31">
        <f t="shared" si="31"/>
        <v>96.40000000000002</v>
      </c>
      <c r="H114" s="32">
        <v>0</v>
      </c>
      <c r="I114" s="34">
        <f t="shared" si="31"/>
        <v>0.8</v>
      </c>
    </row>
    <row r="115" spans="1:9" ht="20.100000000000001" customHeight="1" x14ac:dyDescent="0.2">
      <c r="A115" s="61">
        <v>19.3</v>
      </c>
      <c r="B115" s="31">
        <f t="shared" si="32"/>
        <v>214.87603305785129</v>
      </c>
      <c r="C115" s="31">
        <f t="shared" si="31"/>
        <v>201.65289256198349</v>
      </c>
      <c r="D115" s="31">
        <f t="shared" si="31"/>
        <v>101.80796252927401</v>
      </c>
      <c r="E115" s="31">
        <f t="shared" si="31"/>
        <v>95.542857142857159</v>
      </c>
      <c r="F115" s="31">
        <f t="shared" si="31"/>
        <v>104</v>
      </c>
      <c r="G115" s="31">
        <f t="shared" si="31"/>
        <v>97.600000000000023</v>
      </c>
      <c r="H115" s="32">
        <v>0</v>
      </c>
      <c r="I115" s="34">
        <f t="shared" si="31"/>
        <v>0.8</v>
      </c>
    </row>
    <row r="116" spans="1:9" ht="20.100000000000001" customHeight="1" x14ac:dyDescent="0.2">
      <c r="A116" s="61">
        <v>19.399999999999999</v>
      </c>
      <c r="B116" s="31">
        <f t="shared" si="32"/>
        <v>216.94214876033064</v>
      </c>
      <c r="C116" s="31">
        <f t="shared" si="31"/>
        <v>204.1322314049587</v>
      </c>
      <c r="D116" s="31">
        <f t="shared" si="31"/>
        <v>102.78688524590164</v>
      </c>
      <c r="E116" s="31">
        <f t="shared" si="31"/>
        <v>96.717564402810325</v>
      </c>
      <c r="F116" s="31">
        <f t="shared" si="31"/>
        <v>105</v>
      </c>
      <c r="G116" s="31">
        <f t="shared" si="31"/>
        <v>98.800000000000026</v>
      </c>
      <c r="H116" s="32">
        <v>0</v>
      </c>
      <c r="I116" s="34">
        <f t="shared" si="31"/>
        <v>0.8</v>
      </c>
    </row>
    <row r="117" spans="1:9" ht="20.100000000000001" customHeight="1" x14ac:dyDescent="0.2">
      <c r="A117" s="61">
        <v>19.5</v>
      </c>
      <c r="B117" s="31">
        <f t="shared" ref="B117" si="33">B29/$B$8</f>
        <v>219.00826446280993</v>
      </c>
      <c r="C117" s="31">
        <f>C29/$B$8</f>
        <v>206.61157024793388</v>
      </c>
      <c r="D117" s="31">
        <f>B29*$B$10/$B$9</f>
        <v>103.76580796252928</v>
      </c>
      <c r="E117" s="31">
        <f>C29*$B$10/$B$9</f>
        <v>97.892271662763463</v>
      </c>
      <c r="F117" s="31">
        <f>B29*$B$10/$B$10</f>
        <v>106</v>
      </c>
      <c r="G117" s="31">
        <f>C29*$B$10/$B$10</f>
        <v>100</v>
      </c>
      <c r="H117" s="32">
        <v>0</v>
      </c>
      <c r="I117" s="34">
        <f>(D29+E29)/2</f>
        <v>0.8</v>
      </c>
    </row>
    <row r="118" spans="1:9" ht="20.100000000000001" customHeight="1" thickBot="1" x14ac:dyDescent="0.25">
      <c r="A118" s="23"/>
      <c r="B118" s="36"/>
      <c r="C118" s="36"/>
      <c r="D118" s="36"/>
      <c r="E118" s="37"/>
      <c r="F118" s="37"/>
      <c r="G118" s="37"/>
      <c r="H118" s="72"/>
      <c r="I118" s="38"/>
    </row>
    <row r="119" spans="1:9" ht="20.100000000000001" customHeight="1" thickTop="1" x14ac:dyDescent="0.2">
      <c r="A119" s="14"/>
    </row>
    <row r="120" spans="1:9" ht="20.100000000000001" customHeight="1" x14ac:dyDescent="0.2">
      <c r="A120" s="3"/>
    </row>
    <row r="121" spans="1:9" ht="20.100000000000001" customHeight="1" x14ac:dyDescent="0.2">
      <c r="A121" s="15"/>
    </row>
    <row r="122" spans="1:9" ht="20.100000000000001" customHeight="1" x14ac:dyDescent="0.2">
      <c r="A122" s="3"/>
    </row>
  </sheetData>
  <sheetProtection sheet="1" objects="1" scenarios="1"/>
  <mergeCells count="14">
    <mergeCell ref="B18:E18"/>
    <mergeCell ref="D19:E19"/>
    <mergeCell ref="B5:E5"/>
    <mergeCell ref="B8:E8"/>
    <mergeCell ref="B9:E9"/>
    <mergeCell ref="B10:E10"/>
    <mergeCell ref="B11:E11"/>
    <mergeCell ref="B12:E12"/>
    <mergeCell ref="B13:E13"/>
    <mergeCell ref="B19:C19"/>
    <mergeCell ref="B14:E14"/>
    <mergeCell ref="B15:E15"/>
    <mergeCell ref="B16:E16"/>
    <mergeCell ref="B17:E17"/>
  </mergeCells>
  <phoneticPr fontId="7" type="noConversion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81C19"/>
  </sheetPr>
  <dimension ref="A1:Y42"/>
  <sheetViews>
    <sheetView showGridLines="0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A35" sqref="A35"/>
    </sheetView>
  </sheetViews>
  <sheetFormatPr defaultColWidth="15.7109375" defaultRowHeight="20.100000000000001" customHeight="1" x14ac:dyDescent="0.2"/>
  <cols>
    <col min="1" max="1" width="30.7109375" style="1" customWidth="1"/>
    <col min="2" max="2" width="20.7109375" style="1" customWidth="1"/>
    <col min="3" max="6" width="15.7109375" style="1"/>
    <col min="7" max="7" width="20.7109375" style="1" customWidth="1"/>
    <col min="8" max="16384" width="15.7109375" style="1"/>
  </cols>
  <sheetData>
    <row r="1" spans="1:25" ht="60" customHeight="1" x14ac:dyDescent="0.2">
      <c r="B1" s="13"/>
      <c r="C1" s="13" t="s">
        <v>186</v>
      </c>
    </row>
    <row r="3" spans="1:25" ht="20.100000000000001" customHeight="1" thickBot="1" x14ac:dyDescent="0.35">
      <c r="A3" s="12" t="s">
        <v>2</v>
      </c>
      <c r="B3" s="3"/>
      <c r="C3" s="3"/>
      <c r="D3" s="3"/>
    </row>
    <row r="4" spans="1:25" s="171" customFormat="1" ht="39.950000000000003" customHeight="1" thickTop="1" thickBot="1" x14ac:dyDescent="0.25">
      <c r="A4" s="164" t="s">
        <v>146</v>
      </c>
      <c r="B4" s="165" t="s">
        <v>45</v>
      </c>
      <c r="C4" s="165" t="s">
        <v>159</v>
      </c>
      <c r="D4" s="166" t="s">
        <v>4</v>
      </c>
      <c r="E4" s="166" t="s">
        <v>156</v>
      </c>
      <c r="F4" s="167" t="s">
        <v>160</v>
      </c>
      <c r="G4" s="166" t="s">
        <v>46</v>
      </c>
      <c r="H4" s="168" t="s">
        <v>48</v>
      </c>
      <c r="I4" s="169" t="s">
        <v>50</v>
      </c>
      <c r="J4" s="169" t="s">
        <v>157</v>
      </c>
      <c r="K4" s="169" t="s">
        <v>176</v>
      </c>
      <c r="L4" s="169" t="s">
        <v>161</v>
      </c>
      <c r="M4" s="169" t="s">
        <v>177</v>
      </c>
      <c r="N4" s="169" t="s">
        <v>162</v>
      </c>
      <c r="O4" s="169" t="s">
        <v>178</v>
      </c>
      <c r="P4" s="169" t="s">
        <v>165</v>
      </c>
      <c r="Q4" s="168" t="s">
        <v>163</v>
      </c>
      <c r="R4" s="169" t="s">
        <v>158</v>
      </c>
      <c r="S4" s="169" t="s">
        <v>167</v>
      </c>
      <c r="T4" s="169" t="s">
        <v>168</v>
      </c>
      <c r="U4" s="169" t="s">
        <v>169</v>
      </c>
      <c r="V4" s="169" t="s">
        <v>170</v>
      </c>
      <c r="W4" s="169" t="s">
        <v>171</v>
      </c>
      <c r="X4" s="169" t="s">
        <v>166</v>
      </c>
      <c r="Y4" s="170" t="s">
        <v>164</v>
      </c>
    </row>
    <row r="5" spans="1:25" ht="20.100000000000001" customHeight="1" thickTop="1" x14ac:dyDescent="0.2">
      <c r="A5" s="160"/>
      <c r="B5" s="161"/>
      <c r="C5" s="160"/>
      <c r="D5" s="162"/>
      <c r="E5" s="163"/>
      <c r="F5" s="160"/>
      <c r="G5" s="143"/>
      <c r="H5" s="144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</row>
    <row r="6" spans="1:25" ht="20.100000000000001" customHeight="1" x14ac:dyDescent="0.2">
      <c r="A6" s="44" t="s">
        <v>172</v>
      </c>
      <c r="B6" s="85">
        <v>44936.708333333336</v>
      </c>
      <c r="C6" s="44">
        <v>8</v>
      </c>
      <c r="D6" s="135">
        <v>12.3</v>
      </c>
      <c r="E6" s="86">
        <v>3760</v>
      </c>
      <c r="F6" s="44">
        <v>9</v>
      </c>
      <c r="G6" s="137">
        <f t="shared" ref="G6:G16" si="0">IF(OR(B6="",D6=""),"",(B6-C6/24)+(H6+F6/24))</f>
        <v>44949.487127371271</v>
      </c>
      <c r="H6" s="152">
        <f t="shared" ref="H6:H16" si="1">I6/24</f>
        <v>12.737127371273713</v>
      </c>
      <c r="I6" s="142">
        <f t="shared" ref="I6:I16" si="2">IF(OR(B6="",D6="",D6=0),0,E6/D6)</f>
        <v>305.6910569105691</v>
      </c>
      <c r="J6" s="142">
        <f>VLOOKUP($D6,'Consumption Inputs'!$A$40:$I$118,3)</f>
        <v>87.809917355371923</v>
      </c>
      <c r="K6" s="142">
        <f>VLOOKUP($D6,'Consumption Inputs'!$A$40:$I$118,2)</f>
        <v>88.429752066115711</v>
      </c>
      <c r="L6" s="142">
        <f>VLOOKUP($D6,'Consumption Inputs'!$A$40:$I$118,4)</f>
        <v>41.897892271662769</v>
      </c>
      <c r="M6" s="142">
        <f>VLOOKUP($D6,'Consumption Inputs'!$A$40:$I$118,5)</f>
        <v>41.604215456674474</v>
      </c>
      <c r="N6" s="142">
        <f>VLOOKUP($D6,'Consumption Inputs'!$A$40:$I$118,6)</f>
        <v>42.800000000000004</v>
      </c>
      <c r="O6" s="142">
        <f>VLOOKUP($D6,'Consumption Inputs'!$A$40:$I$118,7)</f>
        <v>42.5</v>
      </c>
      <c r="P6" s="142">
        <f>VLOOKUP($D6,'Consumption Inputs'!$A$40:$I$118,8)</f>
        <v>0</v>
      </c>
      <c r="Q6" s="142">
        <f>VLOOKUP($D6,'Consumption Inputs'!$A$40:$I$118,9)</f>
        <v>0.6</v>
      </c>
      <c r="R6" s="142">
        <f t="shared" ref="R6:R16" si="3">$H6*J6</f>
        <v>1118.4461018163904</v>
      </c>
      <c r="S6" s="142">
        <f t="shared" ref="S6:S16" si="4">$H6*K6</f>
        <v>1126.3410154762705</v>
      </c>
      <c r="T6" s="142">
        <f t="shared" ref="T6:T16" si="5">$H6*L6</f>
        <v>533.65879045207328</v>
      </c>
      <c r="U6" s="142">
        <f t="shared" ref="U6:U16" si="6">$H6*M6</f>
        <v>529.91819145357738</v>
      </c>
      <c r="V6" s="142">
        <f t="shared" ref="V6:V16" si="7">$H6*N6</f>
        <v>545.14905149051503</v>
      </c>
      <c r="W6" s="142">
        <f t="shared" ref="W6:W16" si="8">$H6*O6</f>
        <v>541.32791327913276</v>
      </c>
      <c r="X6" s="142">
        <f t="shared" ref="X6:X16" si="9">$H6*P6</f>
        <v>0</v>
      </c>
      <c r="Y6" s="142">
        <f t="shared" ref="Y6:Y16" si="10">$H6*Q6</f>
        <v>7.6422764227642279</v>
      </c>
    </row>
    <row r="7" spans="1:25" ht="20.100000000000001" customHeight="1" x14ac:dyDescent="0.2">
      <c r="A7" s="44" t="s">
        <v>183</v>
      </c>
      <c r="B7" s="85">
        <f>B6</f>
        <v>44936.708333333336</v>
      </c>
      <c r="C7" s="44">
        <f>C6</f>
        <v>8</v>
      </c>
      <c r="D7" s="135">
        <v>12</v>
      </c>
      <c r="E7" s="86">
        <f>E6</f>
        <v>3760</v>
      </c>
      <c r="F7" s="44">
        <f>F6</f>
        <v>9</v>
      </c>
      <c r="G7" s="137">
        <f t="shared" si="0"/>
        <v>44949.805555555555</v>
      </c>
      <c r="H7" s="152">
        <f t="shared" si="1"/>
        <v>13.055555555555555</v>
      </c>
      <c r="I7" s="142">
        <f t="shared" si="2"/>
        <v>313.33333333333331</v>
      </c>
      <c r="J7" s="142">
        <f>VLOOKUP($D7,'Consumption Inputs'!$A$40:$I$118,3)</f>
        <v>84.710743801652896</v>
      </c>
      <c r="K7" s="142">
        <f>VLOOKUP($D7,'Consumption Inputs'!$A$40:$I$118,2)</f>
        <v>84.710743801652896</v>
      </c>
      <c r="L7" s="142">
        <f>VLOOKUP($D7,'Consumption Inputs'!$A$40:$I$118,4)</f>
        <v>40.13583138173302</v>
      </c>
      <c r="M7" s="142">
        <f>VLOOKUP($D7,'Consumption Inputs'!$A$40:$I$118,5)</f>
        <v>40.13583138173302</v>
      </c>
      <c r="N7" s="142">
        <f>VLOOKUP($D7,'Consumption Inputs'!$A$40:$I$118,6)</f>
        <v>41</v>
      </c>
      <c r="O7" s="142">
        <f>VLOOKUP($D7,'Consumption Inputs'!$A$40:$I$118,7)</f>
        <v>41</v>
      </c>
      <c r="P7" s="142">
        <f>VLOOKUP($D7,'Consumption Inputs'!$A$40:$I$118,8)</f>
        <v>0</v>
      </c>
      <c r="Q7" s="142">
        <f>VLOOKUP($D7,'Consumption Inputs'!$A$40:$I$118,9)</f>
        <v>0.6</v>
      </c>
      <c r="R7" s="142">
        <f t="shared" si="3"/>
        <v>1105.9458218549128</v>
      </c>
      <c r="S7" s="142">
        <f t="shared" si="4"/>
        <v>1105.9458218549128</v>
      </c>
      <c r="T7" s="142">
        <f t="shared" si="5"/>
        <v>523.99557637262558</v>
      </c>
      <c r="U7" s="142">
        <f t="shared" si="6"/>
        <v>523.99557637262558</v>
      </c>
      <c r="V7" s="142">
        <f t="shared" si="7"/>
        <v>535.27777777777771</v>
      </c>
      <c r="W7" s="142">
        <f t="shared" si="8"/>
        <v>535.27777777777771</v>
      </c>
      <c r="X7" s="142">
        <f t="shared" si="9"/>
        <v>0</v>
      </c>
      <c r="Y7" s="142">
        <f t="shared" si="10"/>
        <v>7.833333333333333</v>
      </c>
    </row>
    <row r="8" spans="1:25" ht="20.100000000000001" customHeight="1" x14ac:dyDescent="0.2">
      <c r="A8" s="44" t="s">
        <v>183</v>
      </c>
      <c r="B8" s="85">
        <f t="shared" ref="B8:C16" si="11">B7</f>
        <v>44936.708333333336</v>
      </c>
      <c r="C8" s="44">
        <f t="shared" si="11"/>
        <v>8</v>
      </c>
      <c r="D8" s="135">
        <v>13</v>
      </c>
      <c r="E8" s="86">
        <f t="shared" ref="E8:F16" si="12">E7</f>
        <v>3760</v>
      </c>
      <c r="F8" s="44">
        <f t="shared" si="12"/>
        <v>9</v>
      </c>
      <c r="G8" s="137">
        <f t="shared" si="0"/>
        <v>44948.801282051281</v>
      </c>
      <c r="H8" s="152">
        <f t="shared" si="1"/>
        <v>12.051282051282051</v>
      </c>
      <c r="I8" s="142">
        <f t="shared" si="2"/>
        <v>289.23076923076923</v>
      </c>
      <c r="J8" s="142">
        <f>VLOOKUP($D8,'Consumption Inputs'!$A$40:$I$118,3)</f>
        <v>95.041322314049594</v>
      </c>
      <c r="K8" s="142">
        <f>VLOOKUP($D8,'Consumption Inputs'!$A$40:$I$118,2)</f>
        <v>97.107438016528931</v>
      </c>
      <c r="L8" s="142">
        <f>VLOOKUP($D8,'Consumption Inputs'!$A$40:$I$118,4)</f>
        <v>46.00936768149883</v>
      </c>
      <c r="M8" s="142">
        <f>VLOOKUP($D8,'Consumption Inputs'!$A$40:$I$118,5)</f>
        <v>45.030444964871194</v>
      </c>
      <c r="N8" s="142">
        <f>VLOOKUP($D8,'Consumption Inputs'!$A$40:$I$118,6)</f>
        <v>47.000000000000007</v>
      </c>
      <c r="O8" s="142">
        <f>VLOOKUP($D8,'Consumption Inputs'!$A$40:$I$118,7)</f>
        <v>46</v>
      </c>
      <c r="P8" s="142">
        <f>VLOOKUP($D8,'Consumption Inputs'!$A$40:$I$118,8)</f>
        <v>0</v>
      </c>
      <c r="Q8" s="142">
        <f>VLOOKUP($D8,'Consumption Inputs'!$A$40:$I$118,9)</f>
        <v>0.6</v>
      </c>
      <c r="R8" s="142">
        <f t="shared" si="3"/>
        <v>1145.3697817334182</v>
      </c>
      <c r="S8" s="142">
        <f t="shared" si="4"/>
        <v>1170.2691248145793</v>
      </c>
      <c r="T8" s="142">
        <f t="shared" si="5"/>
        <v>554.47186693088338</v>
      </c>
      <c r="U8" s="142">
        <f t="shared" si="6"/>
        <v>542.67459316639645</v>
      </c>
      <c r="V8" s="142">
        <f t="shared" si="7"/>
        <v>566.41025641025647</v>
      </c>
      <c r="W8" s="142">
        <f t="shared" si="8"/>
        <v>554.35897435897436</v>
      </c>
      <c r="X8" s="142">
        <f t="shared" si="9"/>
        <v>0</v>
      </c>
      <c r="Y8" s="142">
        <f t="shared" si="10"/>
        <v>7.2307692307692299</v>
      </c>
    </row>
    <row r="9" spans="1:25" ht="20.100000000000001" customHeight="1" x14ac:dyDescent="0.2">
      <c r="A9" s="44" t="s">
        <v>183</v>
      </c>
      <c r="B9" s="85">
        <f t="shared" si="11"/>
        <v>44936.708333333336</v>
      </c>
      <c r="C9" s="44">
        <f t="shared" si="11"/>
        <v>8</v>
      </c>
      <c r="D9" s="135">
        <v>14</v>
      </c>
      <c r="E9" s="86">
        <f t="shared" si="12"/>
        <v>3760</v>
      </c>
      <c r="F9" s="44">
        <f t="shared" si="12"/>
        <v>9</v>
      </c>
      <c r="G9" s="137">
        <f t="shared" si="0"/>
        <v>44947.940476190473</v>
      </c>
      <c r="H9" s="152">
        <f t="shared" si="1"/>
        <v>11.19047619047619</v>
      </c>
      <c r="I9" s="142">
        <f t="shared" si="2"/>
        <v>268.57142857142856</v>
      </c>
      <c r="J9" s="142">
        <f>VLOOKUP($D9,'Consumption Inputs'!$A$40:$I$118,3)</f>
        <v>107.43801652892563</v>
      </c>
      <c r="K9" s="142">
        <f>VLOOKUP($D9,'Consumption Inputs'!$A$40:$I$118,2)</f>
        <v>113.63636363636364</v>
      </c>
      <c r="L9" s="142">
        <f>VLOOKUP($D9,'Consumption Inputs'!$A$40:$I$118,4)</f>
        <v>53.840749414519905</v>
      </c>
      <c r="M9" s="142">
        <f>VLOOKUP($D9,'Consumption Inputs'!$A$40:$I$118,5)</f>
        <v>50.903981264637004</v>
      </c>
      <c r="N9" s="142">
        <f>VLOOKUP($D9,'Consumption Inputs'!$A$40:$I$118,6)</f>
        <v>55</v>
      </c>
      <c r="O9" s="142">
        <f>VLOOKUP($D9,'Consumption Inputs'!$A$40:$I$118,7)</f>
        <v>52.000000000000007</v>
      </c>
      <c r="P9" s="142">
        <f>VLOOKUP($D9,'Consumption Inputs'!$A$40:$I$118,8)</f>
        <v>0</v>
      </c>
      <c r="Q9" s="142">
        <f>VLOOKUP($D9,'Consumption Inputs'!$A$40:$I$118,9)</f>
        <v>0.6</v>
      </c>
      <c r="R9" s="142">
        <f t="shared" si="3"/>
        <v>1202.2825659189295</v>
      </c>
      <c r="S9" s="142">
        <f t="shared" si="4"/>
        <v>1271.6450216450216</v>
      </c>
      <c r="T9" s="142">
        <f t="shared" si="5"/>
        <v>602.50362440057984</v>
      </c>
      <c r="U9" s="142">
        <f t="shared" si="6"/>
        <v>569.63979034236638</v>
      </c>
      <c r="V9" s="142">
        <f t="shared" si="7"/>
        <v>615.47619047619048</v>
      </c>
      <c r="W9" s="142">
        <f t="shared" si="8"/>
        <v>581.90476190476193</v>
      </c>
      <c r="X9" s="142">
        <f t="shared" si="9"/>
        <v>0</v>
      </c>
      <c r="Y9" s="142">
        <f t="shared" si="10"/>
        <v>6.7142857142857135</v>
      </c>
    </row>
    <row r="10" spans="1:25" ht="20.100000000000001" customHeight="1" x14ac:dyDescent="0.2">
      <c r="A10" s="44" t="s">
        <v>183</v>
      </c>
      <c r="B10" s="85">
        <f t="shared" si="11"/>
        <v>44936.708333333336</v>
      </c>
      <c r="C10" s="44">
        <f t="shared" si="11"/>
        <v>8</v>
      </c>
      <c r="D10" s="135">
        <v>15</v>
      </c>
      <c r="E10" s="86">
        <f t="shared" si="12"/>
        <v>3760</v>
      </c>
      <c r="F10" s="44">
        <f t="shared" si="12"/>
        <v>9</v>
      </c>
      <c r="G10" s="137">
        <f t="shared" si="0"/>
        <v>44947.194444444445</v>
      </c>
      <c r="H10" s="152">
        <f t="shared" si="1"/>
        <v>10.444444444444445</v>
      </c>
      <c r="I10" s="142">
        <f t="shared" si="2"/>
        <v>250.66666666666666</v>
      </c>
      <c r="J10" s="142">
        <f>VLOOKUP($D10,'Consumption Inputs'!$A$40:$I$118,3)</f>
        <v>121.900826446281</v>
      </c>
      <c r="K10" s="142">
        <f>VLOOKUP($D10,'Consumption Inputs'!$A$40:$I$118,2)</f>
        <v>130.16528925619835</v>
      </c>
      <c r="L10" s="142">
        <f>VLOOKUP($D10,'Consumption Inputs'!$A$40:$I$118,4)</f>
        <v>61.672131147540981</v>
      </c>
      <c r="M10" s="142">
        <f>VLOOKUP($D10,'Consumption Inputs'!$A$40:$I$118,5)</f>
        <v>57.756440281030443</v>
      </c>
      <c r="N10" s="142">
        <f>VLOOKUP($D10,'Consumption Inputs'!$A$40:$I$118,6)</f>
        <v>63</v>
      </c>
      <c r="O10" s="142">
        <f>VLOOKUP($D10,'Consumption Inputs'!$A$40:$I$118,7)</f>
        <v>59</v>
      </c>
      <c r="P10" s="142">
        <f>VLOOKUP($D10,'Consumption Inputs'!$A$40:$I$118,8)</f>
        <v>0</v>
      </c>
      <c r="Q10" s="142">
        <f>VLOOKUP($D10,'Consumption Inputs'!$A$40:$I$118,9)</f>
        <v>0.7</v>
      </c>
      <c r="R10" s="142">
        <f t="shared" si="3"/>
        <v>1273.1864095500459</v>
      </c>
      <c r="S10" s="142">
        <f t="shared" si="4"/>
        <v>1359.504132231405</v>
      </c>
      <c r="T10" s="142">
        <f t="shared" si="5"/>
        <v>644.13114754098353</v>
      </c>
      <c r="U10" s="142">
        <f t="shared" si="6"/>
        <v>603.23393182409575</v>
      </c>
      <c r="V10" s="142">
        <f t="shared" si="7"/>
        <v>658</v>
      </c>
      <c r="W10" s="142">
        <f t="shared" si="8"/>
        <v>616.22222222222229</v>
      </c>
      <c r="X10" s="142">
        <f t="shared" si="9"/>
        <v>0</v>
      </c>
      <c r="Y10" s="142">
        <f t="shared" si="10"/>
        <v>7.3111111111111109</v>
      </c>
    </row>
    <row r="11" spans="1:25" ht="20.100000000000001" customHeight="1" x14ac:dyDescent="0.2">
      <c r="A11" s="44" t="s">
        <v>183</v>
      </c>
      <c r="B11" s="85">
        <f t="shared" si="11"/>
        <v>44936.708333333336</v>
      </c>
      <c r="C11" s="44">
        <f t="shared" si="11"/>
        <v>8</v>
      </c>
      <c r="D11" s="135">
        <v>16</v>
      </c>
      <c r="E11" s="86">
        <f t="shared" si="12"/>
        <v>3760</v>
      </c>
      <c r="F11" s="44">
        <f t="shared" si="12"/>
        <v>9</v>
      </c>
      <c r="G11" s="137">
        <f t="shared" si="0"/>
        <v>44946.541666666664</v>
      </c>
      <c r="H11" s="152">
        <f t="shared" si="1"/>
        <v>9.7916666666666661</v>
      </c>
      <c r="I11" s="142">
        <f t="shared" si="2"/>
        <v>235</v>
      </c>
      <c r="J11" s="142">
        <f>VLOOKUP($D11,'Consumption Inputs'!$A$40:$I$118,3)</f>
        <v>136.36363636363637</v>
      </c>
      <c r="K11" s="142">
        <f>VLOOKUP($D11,'Consumption Inputs'!$A$40:$I$118,2)</f>
        <v>146.69421487603307</v>
      </c>
      <c r="L11" s="142">
        <f>VLOOKUP($D11,'Consumption Inputs'!$A$40:$I$118,4)</f>
        <v>69.503512880562056</v>
      </c>
      <c r="M11" s="142">
        <f>VLOOKUP($D11,'Consumption Inputs'!$A$40:$I$118,5)</f>
        <v>64.608899297423889</v>
      </c>
      <c r="N11" s="142">
        <f>VLOOKUP($D11,'Consumption Inputs'!$A$40:$I$118,6)</f>
        <v>71</v>
      </c>
      <c r="O11" s="142">
        <f>VLOOKUP($D11,'Consumption Inputs'!$A$40:$I$118,7)</f>
        <v>66</v>
      </c>
      <c r="P11" s="142">
        <f>VLOOKUP($D11,'Consumption Inputs'!$A$40:$I$118,8)</f>
        <v>0</v>
      </c>
      <c r="Q11" s="142">
        <f>VLOOKUP($D11,'Consumption Inputs'!$A$40:$I$118,9)</f>
        <v>0.7</v>
      </c>
      <c r="R11" s="142">
        <f t="shared" si="3"/>
        <v>1335.2272727272727</v>
      </c>
      <c r="S11" s="142">
        <f t="shared" si="4"/>
        <v>1436.3808539944905</v>
      </c>
      <c r="T11" s="142">
        <f t="shared" si="5"/>
        <v>680.55523028883681</v>
      </c>
      <c r="U11" s="142">
        <f t="shared" si="6"/>
        <v>632.62880562060889</v>
      </c>
      <c r="V11" s="142">
        <f t="shared" si="7"/>
        <v>695.20833333333326</v>
      </c>
      <c r="W11" s="142">
        <f t="shared" si="8"/>
        <v>646.25</v>
      </c>
      <c r="X11" s="142">
        <f t="shared" si="9"/>
        <v>0</v>
      </c>
      <c r="Y11" s="142">
        <f t="shared" si="10"/>
        <v>6.8541666666666661</v>
      </c>
    </row>
    <row r="12" spans="1:25" ht="20.100000000000001" customHeight="1" x14ac:dyDescent="0.2">
      <c r="A12" s="44" t="s">
        <v>183</v>
      </c>
      <c r="B12" s="85">
        <f t="shared" si="11"/>
        <v>44936.708333333336</v>
      </c>
      <c r="C12" s="44">
        <f t="shared" si="11"/>
        <v>8</v>
      </c>
      <c r="D12" s="135">
        <v>17</v>
      </c>
      <c r="E12" s="86">
        <f t="shared" si="12"/>
        <v>3760</v>
      </c>
      <c r="F12" s="44">
        <f t="shared" si="12"/>
        <v>9</v>
      </c>
      <c r="G12" s="137">
        <f t="shared" si="0"/>
        <v>44945.965686274511</v>
      </c>
      <c r="H12" s="152">
        <f t="shared" si="1"/>
        <v>9.2156862745098049</v>
      </c>
      <c r="I12" s="142">
        <f t="shared" si="2"/>
        <v>221.1764705882353</v>
      </c>
      <c r="J12" s="142">
        <f>VLOOKUP($D12,'Consumption Inputs'!$A$40:$I$118,3)</f>
        <v>150.82644628099175</v>
      </c>
      <c r="K12" s="142">
        <f>VLOOKUP($D12,'Consumption Inputs'!$A$40:$I$118,2)</f>
        <v>159.09090909090909</v>
      </c>
      <c r="L12" s="142">
        <f>VLOOKUP($D12,'Consumption Inputs'!$A$40:$I$118,4)</f>
        <v>75.377049180327873</v>
      </c>
      <c r="M12" s="142">
        <f>VLOOKUP($D12,'Consumption Inputs'!$A$40:$I$118,5)</f>
        <v>71.461358313817328</v>
      </c>
      <c r="N12" s="142">
        <f>VLOOKUP($D12,'Consumption Inputs'!$A$40:$I$118,6)</f>
        <v>77</v>
      </c>
      <c r="O12" s="142">
        <f>VLOOKUP($D12,'Consumption Inputs'!$A$40:$I$118,7)</f>
        <v>73</v>
      </c>
      <c r="P12" s="142">
        <f>VLOOKUP($D12,'Consumption Inputs'!$A$40:$I$118,8)</f>
        <v>0</v>
      </c>
      <c r="Q12" s="142">
        <f>VLOOKUP($D12,'Consumption Inputs'!$A$40:$I$118,9)</f>
        <v>0.7</v>
      </c>
      <c r="R12" s="142">
        <f t="shared" si="3"/>
        <v>1389.969210824826</v>
      </c>
      <c r="S12" s="142">
        <f t="shared" si="4"/>
        <v>1466.131907308378</v>
      </c>
      <c r="T12" s="142">
        <f t="shared" si="5"/>
        <v>694.65123754419812</v>
      </c>
      <c r="U12" s="142">
        <f t="shared" si="6"/>
        <v>658.56545897047351</v>
      </c>
      <c r="V12" s="142">
        <f t="shared" si="7"/>
        <v>709.60784313725503</v>
      </c>
      <c r="W12" s="142">
        <f t="shared" si="8"/>
        <v>672.7450980392158</v>
      </c>
      <c r="X12" s="142">
        <f t="shared" si="9"/>
        <v>0</v>
      </c>
      <c r="Y12" s="142">
        <f t="shared" si="10"/>
        <v>6.4509803921568629</v>
      </c>
    </row>
    <row r="13" spans="1:25" ht="20.100000000000001" customHeight="1" x14ac:dyDescent="0.2">
      <c r="A13" s="44" t="s">
        <v>183</v>
      </c>
      <c r="B13" s="85">
        <f t="shared" si="11"/>
        <v>44936.708333333336</v>
      </c>
      <c r="C13" s="44">
        <f t="shared" si="11"/>
        <v>8</v>
      </c>
      <c r="D13" s="135">
        <v>18</v>
      </c>
      <c r="E13" s="86">
        <f t="shared" si="12"/>
        <v>3760</v>
      </c>
      <c r="F13" s="44">
        <f t="shared" si="12"/>
        <v>9</v>
      </c>
      <c r="G13" s="137">
        <f t="shared" si="0"/>
        <v>44945.453703703701</v>
      </c>
      <c r="H13" s="152">
        <f t="shared" si="1"/>
        <v>8.7037037037037042</v>
      </c>
      <c r="I13" s="142">
        <f t="shared" si="2"/>
        <v>208.88888888888889</v>
      </c>
      <c r="J13" s="142">
        <f>VLOOKUP($D13,'Consumption Inputs'!$A$40:$I$118,3)</f>
        <v>171.48760330578514</v>
      </c>
      <c r="K13" s="142">
        <f>VLOOKUP($D13,'Consumption Inputs'!$A$40:$I$118,2)</f>
        <v>183.88429752066116</v>
      </c>
      <c r="L13" s="142">
        <f>VLOOKUP($D13,'Consumption Inputs'!$A$40:$I$118,4)</f>
        <v>87.124121779859479</v>
      </c>
      <c r="M13" s="142">
        <f>VLOOKUP($D13,'Consumption Inputs'!$A$40:$I$118,5)</f>
        <v>81.250585480093662</v>
      </c>
      <c r="N13" s="142">
        <f>VLOOKUP($D13,'Consumption Inputs'!$A$40:$I$118,6)</f>
        <v>89</v>
      </c>
      <c r="O13" s="142">
        <f>VLOOKUP($D13,'Consumption Inputs'!$A$40:$I$118,7)</f>
        <v>82.999999999999986</v>
      </c>
      <c r="P13" s="142">
        <f>VLOOKUP($D13,'Consumption Inputs'!$A$40:$I$118,8)</f>
        <v>0</v>
      </c>
      <c r="Q13" s="142">
        <f>VLOOKUP($D13,'Consumption Inputs'!$A$40:$I$118,9)</f>
        <v>0.7</v>
      </c>
      <c r="R13" s="142">
        <f t="shared" si="3"/>
        <v>1492.5772880318336</v>
      </c>
      <c r="S13" s="142">
        <f t="shared" si="4"/>
        <v>1600.4744413835324</v>
      </c>
      <c r="T13" s="142">
        <f t="shared" si="5"/>
        <v>758.30254141729552</v>
      </c>
      <c r="U13" s="142">
        <f t="shared" si="6"/>
        <v>707.18102177118556</v>
      </c>
      <c r="V13" s="142">
        <f t="shared" si="7"/>
        <v>774.62962962962968</v>
      </c>
      <c r="W13" s="142">
        <f t="shared" si="8"/>
        <v>722.40740740740728</v>
      </c>
      <c r="X13" s="142">
        <f t="shared" si="9"/>
        <v>0</v>
      </c>
      <c r="Y13" s="142">
        <f t="shared" si="10"/>
        <v>6.0925925925925926</v>
      </c>
    </row>
    <row r="14" spans="1:25" ht="20.100000000000001" customHeight="1" x14ac:dyDescent="0.2">
      <c r="A14" s="44" t="s">
        <v>183</v>
      </c>
      <c r="B14" s="85">
        <f t="shared" si="11"/>
        <v>44936.708333333336</v>
      </c>
      <c r="C14" s="44">
        <f t="shared" si="11"/>
        <v>8</v>
      </c>
      <c r="D14" s="135">
        <v>19</v>
      </c>
      <c r="E14" s="86">
        <f t="shared" si="12"/>
        <v>3760</v>
      </c>
      <c r="F14" s="44">
        <f t="shared" si="12"/>
        <v>9</v>
      </c>
      <c r="G14" s="137">
        <f t="shared" si="0"/>
        <v>44944.995614035084</v>
      </c>
      <c r="H14" s="152">
        <f t="shared" si="1"/>
        <v>8.2456140350877192</v>
      </c>
      <c r="I14" s="142">
        <f t="shared" si="2"/>
        <v>197.89473684210526</v>
      </c>
      <c r="J14" s="142">
        <f>VLOOKUP($D14,'Consumption Inputs'!$A$40:$I$118,3)</f>
        <v>194.21487603305786</v>
      </c>
      <c r="K14" s="142">
        <f>VLOOKUP($D14,'Consumption Inputs'!$A$40:$I$118,2)</f>
        <v>208.67768595041323</v>
      </c>
      <c r="L14" s="142">
        <f>VLOOKUP($D14,'Consumption Inputs'!$A$40:$I$118,4)</f>
        <v>98.871194379391099</v>
      </c>
      <c r="M14" s="142">
        <f>VLOOKUP($D14,'Consumption Inputs'!$A$40:$I$118,5)</f>
        <v>92.01873536299766</v>
      </c>
      <c r="N14" s="142">
        <f>VLOOKUP($D14,'Consumption Inputs'!$A$40:$I$118,6)</f>
        <v>101</v>
      </c>
      <c r="O14" s="142">
        <f>VLOOKUP($D14,'Consumption Inputs'!$A$40:$I$118,7)</f>
        <v>94.000000000000014</v>
      </c>
      <c r="P14" s="142">
        <f>VLOOKUP($D14,'Consumption Inputs'!$A$40:$I$118,8)</f>
        <v>0</v>
      </c>
      <c r="Q14" s="142">
        <f>VLOOKUP($D14,'Consumption Inputs'!$A$40:$I$118,9)</f>
        <v>0.8</v>
      </c>
      <c r="R14" s="142">
        <f t="shared" si="3"/>
        <v>1601.4209076410034</v>
      </c>
      <c r="S14" s="142">
        <f t="shared" si="4"/>
        <v>1720.6756560823546</v>
      </c>
      <c r="T14" s="142">
        <f t="shared" si="5"/>
        <v>815.25370804059321</v>
      </c>
      <c r="U14" s="142">
        <f t="shared" si="6"/>
        <v>758.75097580015608</v>
      </c>
      <c r="V14" s="142">
        <f t="shared" si="7"/>
        <v>832.80701754385962</v>
      </c>
      <c r="W14" s="142">
        <f t="shared" si="8"/>
        <v>775.0877192982457</v>
      </c>
      <c r="X14" s="142">
        <f t="shared" si="9"/>
        <v>0</v>
      </c>
      <c r="Y14" s="142">
        <f t="shared" si="10"/>
        <v>6.5964912280701755</v>
      </c>
    </row>
    <row r="15" spans="1:25" ht="20.100000000000001" customHeight="1" x14ac:dyDescent="0.2">
      <c r="A15" s="44" t="s">
        <v>183</v>
      </c>
      <c r="B15" s="85">
        <f t="shared" si="11"/>
        <v>44936.708333333336</v>
      </c>
      <c r="C15" s="44">
        <f t="shared" si="11"/>
        <v>8</v>
      </c>
      <c r="D15" s="135">
        <v>19.5</v>
      </c>
      <c r="E15" s="86">
        <f t="shared" si="12"/>
        <v>3760</v>
      </c>
      <c r="F15" s="44">
        <f t="shared" si="12"/>
        <v>9</v>
      </c>
      <c r="G15" s="137">
        <f t="shared" si="0"/>
        <v>44944.784188034188</v>
      </c>
      <c r="H15" s="152">
        <f t="shared" si="1"/>
        <v>8.0341880341880341</v>
      </c>
      <c r="I15" s="142">
        <f t="shared" si="2"/>
        <v>192.82051282051282</v>
      </c>
      <c r="J15" s="142">
        <f>VLOOKUP($D15,'Consumption Inputs'!$A$40:$I$118,3)</f>
        <v>206.61157024793388</v>
      </c>
      <c r="K15" s="142">
        <f>VLOOKUP($D15,'Consumption Inputs'!$A$40:$I$118,2)</f>
        <v>219.00826446280993</v>
      </c>
      <c r="L15" s="142">
        <f>VLOOKUP($D15,'Consumption Inputs'!$A$40:$I$118,4)</f>
        <v>103.76580796252928</v>
      </c>
      <c r="M15" s="142">
        <f>VLOOKUP($D15,'Consumption Inputs'!$A$40:$I$118,5)</f>
        <v>97.892271662763463</v>
      </c>
      <c r="N15" s="142">
        <f>VLOOKUP($D15,'Consumption Inputs'!$A$40:$I$118,6)</f>
        <v>106</v>
      </c>
      <c r="O15" s="142">
        <f>VLOOKUP($D15,'Consumption Inputs'!$A$40:$I$118,7)</f>
        <v>100</v>
      </c>
      <c r="P15" s="142">
        <f>VLOOKUP($D15,'Consumption Inputs'!$A$40:$I$118,8)</f>
        <v>0</v>
      </c>
      <c r="Q15" s="142">
        <f>VLOOKUP($D15,'Consumption Inputs'!$A$40:$I$118,9)</f>
        <v>0.8</v>
      </c>
      <c r="R15" s="142">
        <f t="shared" si="3"/>
        <v>1659.9562054107507</v>
      </c>
      <c r="S15" s="142">
        <f t="shared" si="4"/>
        <v>1759.5535777353959</v>
      </c>
      <c r="T15" s="142">
        <f t="shared" si="5"/>
        <v>833.67401269040613</v>
      </c>
      <c r="U15" s="142">
        <f t="shared" si="6"/>
        <v>786.48491763245863</v>
      </c>
      <c r="V15" s="142">
        <f t="shared" si="7"/>
        <v>851.62393162393164</v>
      </c>
      <c r="W15" s="142">
        <f t="shared" si="8"/>
        <v>803.41880341880346</v>
      </c>
      <c r="X15" s="142">
        <f t="shared" si="9"/>
        <v>0</v>
      </c>
      <c r="Y15" s="142">
        <f t="shared" si="10"/>
        <v>6.4273504273504276</v>
      </c>
    </row>
    <row r="16" spans="1:25" ht="20.100000000000001" customHeight="1" x14ac:dyDescent="0.2">
      <c r="A16" s="44" t="s">
        <v>173</v>
      </c>
      <c r="B16" s="85">
        <f ca="1">NOW()</f>
        <v>45200.432514120374</v>
      </c>
      <c r="C16" s="44">
        <f t="shared" si="11"/>
        <v>8</v>
      </c>
      <c r="D16" s="135">
        <v>19.5</v>
      </c>
      <c r="E16" s="86">
        <v>2500</v>
      </c>
      <c r="F16" s="44">
        <f t="shared" si="12"/>
        <v>9</v>
      </c>
      <c r="G16" s="137">
        <f t="shared" ca="1" si="0"/>
        <v>45205.81606112892</v>
      </c>
      <c r="H16" s="152">
        <f t="shared" ca="1" si="1"/>
        <v>5.3418803418803416</v>
      </c>
      <c r="I16" s="142">
        <f t="shared" ca="1" si="2"/>
        <v>128.2051282051282</v>
      </c>
      <c r="J16" s="142">
        <f>VLOOKUP($D16,'Consumption Inputs'!$A$40:$I$118,3)</f>
        <v>206.61157024793388</v>
      </c>
      <c r="K16" s="142">
        <f>VLOOKUP($D16,'Consumption Inputs'!$A$40:$I$118,2)</f>
        <v>219.00826446280993</v>
      </c>
      <c r="L16" s="142">
        <f>VLOOKUP($D16,'Consumption Inputs'!$A$40:$I$118,4)</f>
        <v>103.76580796252928</v>
      </c>
      <c r="M16" s="142">
        <f>VLOOKUP($D16,'Consumption Inputs'!$A$40:$I$118,5)</f>
        <v>97.892271662763463</v>
      </c>
      <c r="N16" s="142">
        <f>VLOOKUP($D16,'Consumption Inputs'!$A$40:$I$118,6)</f>
        <v>106</v>
      </c>
      <c r="O16" s="142">
        <f>VLOOKUP($D16,'Consumption Inputs'!$A$40:$I$118,7)</f>
        <v>100</v>
      </c>
      <c r="P16" s="142">
        <f>VLOOKUP($D16,'Consumption Inputs'!$A$40:$I$118,8)</f>
        <v>0</v>
      </c>
      <c r="Q16" s="142">
        <f>VLOOKUP($D16,'Consumption Inputs'!$A$40:$I$118,9)</f>
        <v>0.8</v>
      </c>
      <c r="R16" s="142">
        <f t="shared" ca="1" si="3"/>
        <v>1103.6942855124673</v>
      </c>
      <c r="S16" s="142">
        <f t="shared" ca="1" si="4"/>
        <v>1169.9159426432154</v>
      </c>
      <c r="T16" s="142">
        <f t="shared" ca="1" si="5"/>
        <v>554.3045297143658</v>
      </c>
      <c r="U16" s="142">
        <f t="shared" ca="1" si="6"/>
        <v>522.92880161732614</v>
      </c>
      <c r="V16" s="142">
        <f t="shared" ca="1" si="7"/>
        <v>566.23931623931617</v>
      </c>
      <c r="W16" s="142">
        <f t="shared" ca="1" si="8"/>
        <v>534.18803418803418</v>
      </c>
      <c r="X16" s="142">
        <f t="shared" ca="1" si="9"/>
        <v>0</v>
      </c>
      <c r="Y16" s="142">
        <f t="shared" ca="1" si="10"/>
        <v>4.2735042735042734</v>
      </c>
    </row>
    <row r="17" spans="1:25" ht="20.100000000000001" customHeight="1" x14ac:dyDescent="0.2">
      <c r="A17" s="174"/>
      <c r="B17" s="175"/>
      <c r="C17" s="174"/>
      <c r="D17" s="176"/>
      <c r="E17" s="177"/>
      <c r="F17" s="174"/>
      <c r="G17" s="178"/>
      <c r="H17" s="179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</row>
    <row r="18" spans="1:25" ht="20.100000000000001" customHeight="1" x14ac:dyDescent="0.2">
      <c r="A18" s="181"/>
      <c r="B18" s="182"/>
      <c r="C18" s="181"/>
      <c r="D18" s="183"/>
      <c r="E18" s="184"/>
      <c r="F18" s="181"/>
      <c r="G18" s="185"/>
      <c r="H18" s="186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</row>
    <row r="19" spans="1:25" ht="20.100000000000001" customHeight="1" x14ac:dyDescent="0.2">
      <c r="A19" s="44" t="s">
        <v>172</v>
      </c>
      <c r="B19" s="85">
        <v>44936.708333333336</v>
      </c>
      <c r="C19" s="44">
        <v>9</v>
      </c>
      <c r="D19" s="135">
        <v>12.5</v>
      </c>
      <c r="E19" s="86">
        <v>3760</v>
      </c>
      <c r="F19" s="44">
        <v>8</v>
      </c>
      <c r="G19" s="137">
        <f t="shared" ref="G19:G29" si="13">IF(OR(B19="",D19=""),"",(B19-C19/24)+(H19+F19/24))</f>
        <v>44949.200000000004</v>
      </c>
      <c r="H19" s="152">
        <f t="shared" ref="H19:H29" si="14">I19/24</f>
        <v>12.533333333333333</v>
      </c>
      <c r="I19" s="142">
        <f t="shared" ref="I19:I29" si="15">IF(OR(B19="",D19="",D19=0),0,E19/D19)</f>
        <v>300.8</v>
      </c>
      <c r="J19" s="142">
        <f>VLOOKUP($D19,'Consumption Inputs'!$A$40:$I$118,3)</f>
        <v>89.876033057851274</v>
      </c>
      <c r="K19" s="142">
        <f>VLOOKUP($D19,'Consumption Inputs'!$A$40:$I$118,2)</f>
        <v>90.909090909090921</v>
      </c>
      <c r="L19" s="142">
        <f>VLOOKUP($D19,'Consumption Inputs'!$A$40:$I$118,4)</f>
        <v>43.072599531615936</v>
      </c>
      <c r="M19" s="142">
        <f>VLOOKUP($D19,'Consumption Inputs'!$A$40:$I$118,5)</f>
        <v>42.58313817330211</v>
      </c>
      <c r="N19" s="142">
        <f>VLOOKUP($D19,'Consumption Inputs'!$A$40:$I$118,6)</f>
        <v>44.000000000000007</v>
      </c>
      <c r="O19" s="142">
        <f>VLOOKUP($D19,'Consumption Inputs'!$A$40:$I$118,7)</f>
        <v>43.5</v>
      </c>
      <c r="P19" s="142">
        <f>VLOOKUP($D19,'Consumption Inputs'!$A$40:$I$118,8)</f>
        <v>0</v>
      </c>
      <c r="Q19" s="142">
        <f>VLOOKUP($D19,'Consumption Inputs'!$A$40:$I$118,9)</f>
        <v>0.6</v>
      </c>
      <c r="R19" s="142">
        <f t="shared" ref="R19:R29" si="16">$H19*J19</f>
        <v>1126.4462809917359</v>
      </c>
      <c r="S19" s="142">
        <f t="shared" ref="S19:S29" si="17">$H19*K19</f>
        <v>1139.3939393939395</v>
      </c>
      <c r="T19" s="142">
        <f t="shared" ref="T19:T29" si="18">$H19*L19</f>
        <v>539.84324746291975</v>
      </c>
      <c r="U19" s="142">
        <f t="shared" ref="U19:U29" si="19">$H19*M19</f>
        <v>533.70866510538644</v>
      </c>
      <c r="V19" s="142">
        <f t="shared" ref="V19:V29" si="20">$H19*N19</f>
        <v>551.4666666666667</v>
      </c>
      <c r="W19" s="142">
        <f t="shared" ref="W19:W29" si="21">$H19*O19</f>
        <v>545.20000000000005</v>
      </c>
      <c r="X19" s="142">
        <f t="shared" ref="X19:X29" si="22">$H19*P19</f>
        <v>0</v>
      </c>
      <c r="Y19" s="142">
        <f t="shared" ref="Y19:Y29" si="23">$H19*Q19</f>
        <v>7.52</v>
      </c>
    </row>
    <row r="20" spans="1:25" ht="20.100000000000001" customHeight="1" x14ac:dyDescent="0.2">
      <c r="A20" s="44" t="s">
        <v>184</v>
      </c>
      <c r="B20" s="85">
        <f>B19</f>
        <v>44936.708333333336</v>
      </c>
      <c r="C20" s="44">
        <f>C19</f>
        <v>9</v>
      </c>
      <c r="D20" s="135">
        <v>12</v>
      </c>
      <c r="E20" s="86">
        <v>3760</v>
      </c>
      <c r="F20" s="44">
        <f>F19</f>
        <v>8</v>
      </c>
      <c r="G20" s="137">
        <f t="shared" si="13"/>
        <v>44949.722222222226</v>
      </c>
      <c r="H20" s="152">
        <f t="shared" si="14"/>
        <v>13.055555555555555</v>
      </c>
      <c r="I20" s="142">
        <f t="shared" si="15"/>
        <v>313.33333333333331</v>
      </c>
      <c r="J20" s="142">
        <f>VLOOKUP($D20,'Consumption Inputs'!$A$40:$I$118,3)</f>
        <v>84.710743801652896</v>
      </c>
      <c r="K20" s="142">
        <f>VLOOKUP($D20,'Consumption Inputs'!$A$40:$I$118,2)</f>
        <v>84.710743801652896</v>
      </c>
      <c r="L20" s="142">
        <f>VLOOKUP($D20,'Consumption Inputs'!$A$40:$I$118,4)</f>
        <v>40.13583138173302</v>
      </c>
      <c r="M20" s="142">
        <f>VLOOKUP($D20,'Consumption Inputs'!$A$40:$I$118,5)</f>
        <v>40.13583138173302</v>
      </c>
      <c r="N20" s="142">
        <f>VLOOKUP($D20,'Consumption Inputs'!$A$40:$I$118,6)</f>
        <v>41</v>
      </c>
      <c r="O20" s="142">
        <f>VLOOKUP($D20,'Consumption Inputs'!$A$40:$I$118,7)</f>
        <v>41</v>
      </c>
      <c r="P20" s="142">
        <f>VLOOKUP($D20,'Consumption Inputs'!$A$40:$I$118,8)</f>
        <v>0</v>
      </c>
      <c r="Q20" s="142">
        <f>VLOOKUP($D20,'Consumption Inputs'!$A$40:$I$118,9)</f>
        <v>0.6</v>
      </c>
      <c r="R20" s="142">
        <f t="shared" si="16"/>
        <v>1105.9458218549128</v>
      </c>
      <c r="S20" s="142">
        <f t="shared" si="17"/>
        <v>1105.9458218549128</v>
      </c>
      <c r="T20" s="142">
        <f t="shared" si="18"/>
        <v>523.99557637262558</v>
      </c>
      <c r="U20" s="142">
        <f t="shared" si="19"/>
        <v>523.99557637262558</v>
      </c>
      <c r="V20" s="142">
        <f t="shared" si="20"/>
        <v>535.27777777777771</v>
      </c>
      <c r="W20" s="142">
        <f t="shared" si="21"/>
        <v>535.27777777777771</v>
      </c>
      <c r="X20" s="142">
        <f t="shared" si="22"/>
        <v>0</v>
      </c>
      <c r="Y20" s="142">
        <f t="shared" si="23"/>
        <v>7.833333333333333</v>
      </c>
    </row>
    <row r="21" spans="1:25" ht="20.100000000000001" customHeight="1" x14ac:dyDescent="0.2">
      <c r="A21" s="44" t="s">
        <v>184</v>
      </c>
      <c r="B21" s="85">
        <f t="shared" ref="B21:C29" si="24">B20</f>
        <v>44936.708333333336</v>
      </c>
      <c r="C21" s="44">
        <f t="shared" si="24"/>
        <v>9</v>
      </c>
      <c r="D21" s="135">
        <v>13</v>
      </c>
      <c r="E21" s="86">
        <v>3760</v>
      </c>
      <c r="F21" s="44">
        <f t="shared" ref="F21:F29" si="25">F20</f>
        <v>8</v>
      </c>
      <c r="G21" s="137">
        <f t="shared" si="13"/>
        <v>44948.717948717953</v>
      </c>
      <c r="H21" s="152">
        <f t="shared" si="14"/>
        <v>12.051282051282051</v>
      </c>
      <c r="I21" s="142">
        <f t="shared" si="15"/>
        <v>289.23076923076923</v>
      </c>
      <c r="J21" s="142">
        <f>VLOOKUP($D21,'Consumption Inputs'!$A$40:$I$118,3)</f>
        <v>95.041322314049594</v>
      </c>
      <c r="K21" s="142">
        <f>VLOOKUP($D21,'Consumption Inputs'!$A$40:$I$118,2)</f>
        <v>97.107438016528931</v>
      </c>
      <c r="L21" s="142">
        <f>VLOOKUP($D21,'Consumption Inputs'!$A$40:$I$118,4)</f>
        <v>46.00936768149883</v>
      </c>
      <c r="M21" s="142">
        <f>VLOOKUP($D21,'Consumption Inputs'!$A$40:$I$118,5)</f>
        <v>45.030444964871194</v>
      </c>
      <c r="N21" s="142">
        <f>VLOOKUP($D21,'Consumption Inputs'!$A$40:$I$118,6)</f>
        <v>47.000000000000007</v>
      </c>
      <c r="O21" s="142">
        <f>VLOOKUP($D21,'Consumption Inputs'!$A$40:$I$118,7)</f>
        <v>46</v>
      </c>
      <c r="P21" s="142">
        <f>VLOOKUP($D21,'Consumption Inputs'!$A$40:$I$118,8)</f>
        <v>0</v>
      </c>
      <c r="Q21" s="142">
        <f>VLOOKUP($D21,'Consumption Inputs'!$A$40:$I$118,9)</f>
        <v>0.6</v>
      </c>
      <c r="R21" s="142">
        <f t="shared" si="16"/>
        <v>1145.3697817334182</v>
      </c>
      <c r="S21" s="142">
        <f t="shared" si="17"/>
        <v>1170.2691248145793</v>
      </c>
      <c r="T21" s="142">
        <f t="shared" si="18"/>
        <v>554.47186693088338</v>
      </c>
      <c r="U21" s="142">
        <f t="shared" si="19"/>
        <v>542.67459316639645</v>
      </c>
      <c r="V21" s="142">
        <f t="shared" si="20"/>
        <v>566.41025641025647</v>
      </c>
      <c r="W21" s="142">
        <f t="shared" si="21"/>
        <v>554.35897435897436</v>
      </c>
      <c r="X21" s="142">
        <f t="shared" si="22"/>
        <v>0</v>
      </c>
      <c r="Y21" s="142">
        <f t="shared" si="23"/>
        <v>7.2307692307692299</v>
      </c>
    </row>
    <row r="22" spans="1:25" ht="20.100000000000001" customHeight="1" x14ac:dyDescent="0.2">
      <c r="A22" s="44" t="s">
        <v>184</v>
      </c>
      <c r="B22" s="85">
        <f t="shared" si="24"/>
        <v>44936.708333333336</v>
      </c>
      <c r="C22" s="44">
        <f t="shared" si="24"/>
        <v>9</v>
      </c>
      <c r="D22" s="135">
        <v>14</v>
      </c>
      <c r="E22" s="86">
        <v>3760</v>
      </c>
      <c r="F22" s="44">
        <f t="shared" si="25"/>
        <v>8</v>
      </c>
      <c r="G22" s="137">
        <f t="shared" si="13"/>
        <v>44947.857142857145</v>
      </c>
      <c r="H22" s="152">
        <f t="shared" si="14"/>
        <v>11.19047619047619</v>
      </c>
      <c r="I22" s="142">
        <f t="shared" si="15"/>
        <v>268.57142857142856</v>
      </c>
      <c r="J22" s="142">
        <f>VLOOKUP($D22,'Consumption Inputs'!$A$40:$I$118,3)</f>
        <v>107.43801652892563</v>
      </c>
      <c r="K22" s="142">
        <f>VLOOKUP($D22,'Consumption Inputs'!$A$40:$I$118,2)</f>
        <v>113.63636363636364</v>
      </c>
      <c r="L22" s="142">
        <f>VLOOKUP($D22,'Consumption Inputs'!$A$40:$I$118,4)</f>
        <v>53.840749414519905</v>
      </c>
      <c r="M22" s="142">
        <f>VLOOKUP($D22,'Consumption Inputs'!$A$40:$I$118,5)</f>
        <v>50.903981264637004</v>
      </c>
      <c r="N22" s="142">
        <f>VLOOKUP($D22,'Consumption Inputs'!$A$40:$I$118,6)</f>
        <v>55</v>
      </c>
      <c r="O22" s="142">
        <f>VLOOKUP($D22,'Consumption Inputs'!$A$40:$I$118,7)</f>
        <v>52.000000000000007</v>
      </c>
      <c r="P22" s="142">
        <f>VLOOKUP($D22,'Consumption Inputs'!$A$40:$I$118,8)</f>
        <v>0</v>
      </c>
      <c r="Q22" s="142">
        <f>VLOOKUP($D22,'Consumption Inputs'!$A$40:$I$118,9)</f>
        <v>0.6</v>
      </c>
      <c r="R22" s="142">
        <f t="shared" si="16"/>
        <v>1202.2825659189295</v>
      </c>
      <c r="S22" s="142">
        <f t="shared" si="17"/>
        <v>1271.6450216450216</v>
      </c>
      <c r="T22" s="142">
        <f t="shared" si="18"/>
        <v>602.50362440057984</v>
      </c>
      <c r="U22" s="142">
        <f t="shared" si="19"/>
        <v>569.63979034236638</v>
      </c>
      <c r="V22" s="142">
        <f t="shared" si="20"/>
        <v>615.47619047619048</v>
      </c>
      <c r="W22" s="142">
        <f t="shared" si="21"/>
        <v>581.90476190476193</v>
      </c>
      <c r="X22" s="142">
        <f t="shared" si="22"/>
        <v>0</v>
      </c>
      <c r="Y22" s="142">
        <f t="shared" si="23"/>
        <v>6.7142857142857135</v>
      </c>
    </row>
    <row r="23" spans="1:25" ht="20.100000000000001" customHeight="1" x14ac:dyDescent="0.2">
      <c r="A23" s="44" t="s">
        <v>184</v>
      </c>
      <c r="B23" s="85">
        <f t="shared" si="24"/>
        <v>44936.708333333336</v>
      </c>
      <c r="C23" s="44">
        <f t="shared" si="24"/>
        <v>9</v>
      </c>
      <c r="D23" s="135">
        <v>15</v>
      </c>
      <c r="E23" s="86">
        <v>3760</v>
      </c>
      <c r="F23" s="44">
        <f t="shared" si="25"/>
        <v>8</v>
      </c>
      <c r="G23" s="137">
        <f t="shared" si="13"/>
        <v>44947.111111111117</v>
      </c>
      <c r="H23" s="152">
        <f t="shared" si="14"/>
        <v>10.444444444444445</v>
      </c>
      <c r="I23" s="142">
        <f t="shared" si="15"/>
        <v>250.66666666666666</v>
      </c>
      <c r="J23" s="142">
        <f>VLOOKUP($D23,'Consumption Inputs'!$A$40:$I$118,3)</f>
        <v>121.900826446281</v>
      </c>
      <c r="K23" s="142">
        <f>VLOOKUP($D23,'Consumption Inputs'!$A$40:$I$118,2)</f>
        <v>130.16528925619835</v>
      </c>
      <c r="L23" s="142">
        <f>VLOOKUP($D23,'Consumption Inputs'!$A$40:$I$118,4)</f>
        <v>61.672131147540981</v>
      </c>
      <c r="M23" s="142">
        <f>VLOOKUP($D23,'Consumption Inputs'!$A$40:$I$118,5)</f>
        <v>57.756440281030443</v>
      </c>
      <c r="N23" s="142">
        <f>VLOOKUP($D23,'Consumption Inputs'!$A$40:$I$118,6)</f>
        <v>63</v>
      </c>
      <c r="O23" s="142">
        <f>VLOOKUP($D23,'Consumption Inputs'!$A$40:$I$118,7)</f>
        <v>59</v>
      </c>
      <c r="P23" s="142">
        <f>VLOOKUP($D23,'Consumption Inputs'!$A$40:$I$118,8)</f>
        <v>0</v>
      </c>
      <c r="Q23" s="142">
        <f>VLOOKUP($D23,'Consumption Inputs'!$A$40:$I$118,9)</f>
        <v>0.7</v>
      </c>
      <c r="R23" s="142">
        <f t="shared" si="16"/>
        <v>1273.1864095500459</v>
      </c>
      <c r="S23" s="142">
        <f t="shared" si="17"/>
        <v>1359.504132231405</v>
      </c>
      <c r="T23" s="142">
        <f t="shared" si="18"/>
        <v>644.13114754098353</v>
      </c>
      <c r="U23" s="142">
        <f t="shared" si="19"/>
        <v>603.23393182409575</v>
      </c>
      <c r="V23" s="142">
        <f t="shared" si="20"/>
        <v>658</v>
      </c>
      <c r="W23" s="142">
        <f t="shared" si="21"/>
        <v>616.22222222222229</v>
      </c>
      <c r="X23" s="142">
        <f t="shared" si="22"/>
        <v>0</v>
      </c>
      <c r="Y23" s="142">
        <f t="shared" si="23"/>
        <v>7.3111111111111109</v>
      </c>
    </row>
    <row r="24" spans="1:25" ht="20.100000000000001" customHeight="1" x14ac:dyDescent="0.2">
      <c r="A24" s="44" t="s">
        <v>184</v>
      </c>
      <c r="B24" s="85">
        <f t="shared" si="24"/>
        <v>44936.708333333336</v>
      </c>
      <c r="C24" s="44">
        <f t="shared" si="24"/>
        <v>9</v>
      </c>
      <c r="D24" s="135">
        <v>16</v>
      </c>
      <c r="E24" s="86">
        <v>3760</v>
      </c>
      <c r="F24" s="44">
        <f t="shared" si="25"/>
        <v>8</v>
      </c>
      <c r="G24" s="137">
        <f t="shared" si="13"/>
        <v>44946.458333333336</v>
      </c>
      <c r="H24" s="152">
        <f t="shared" si="14"/>
        <v>9.7916666666666661</v>
      </c>
      <c r="I24" s="142">
        <f t="shared" si="15"/>
        <v>235</v>
      </c>
      <c r="J24" s="142">
        <f>VLOOKUP($D24,'Consumption Inputs'!$A$40:$I$118,3)</f>
        <v>136.36363636363637</v>
      </c>
      <c r="K24" s="142">
        <f>VLOOKUP($D24,'Consumption Inputs'!$A$40:$I$118,2)</f>
        <v>146.69421487603307</v>
      </c>
      <c r="L24" s="142">
        <f>VLOOKUP($D24,'Consumption Inputs'!$A$40:$I$118,4)</f>
        <v>69.503512880562056</v>
      </c>
      <c r="M24" s="142">
        <f>VLOOKUP($D24,'Consumption Inputs'!$A$40:$I$118,5)</f>
        <v>64.608899297423889</v>
      </c>
      <c r="N24" s="142">
        <f>VLOOKUP($D24,'Consumption Inputs'!$A$40:$I$118,6)</f>
        <v>71</v>
      </c>
      <c r="O24" s="142">
        <f>VLOOKUP($D24,'Consumption Inputs'!$A$40:$I$118,7)</f>
        <v>66</v>
      </c>
      <c r="P24" s="142">
        <f>VLOOKUP($D24,'Consumption Inputs'!$A$40:$I$118,8)</f>
        <v>0</v>
      </c>
      <c r="Q24" s="142">
        <f>VLOOKUP($D24,'Consumption Inputs'!$A$40:$I$118,9)</f>
        <v>0.7</v>
      </c>
      <c r="R24" s="142">
        <f t="shared" si="16"/>
        <v>1335.2272727272727</v>
      </c>
      <c r="S24" s="142">
        <f t="shared" si="17"/>
        <v>1436.3808539944905</v>
      </c>
      <c r="T24" s="142">
        <f t="shared" si="18"/>
        <v>680.55523028883681</v>
      </c>
      <c r="U24" s="142">
        <f t="shared" si="19"/>
        <v>632.62880562060889</v>
      </c>
      <c r="V24" s="142">
        <f t="shared" si="20"/>
        <v>695.20833333333326</v>
      </c>
      <c r="W24" s="142">
        <f t="shared" si="21"/>
        <v>646.25</v>
      </c>
      <c r="X24" s="142">
        <f t="shared" si="22"/>
        <v>0</v>
      </c>
      <c r="Y24" s="142">
        <f t="shared" si="23"/>
        <v>6.8541666666666661</v>
      </c>
    </row>
    <row r="25" spans="1:25" ht="20.100000000000001" customHeight="1" x14ac:dyDescent="0.2">
      <c r="A25" s="44" t="s">
        <v>184</v>
      </c>
      <c r="B25" s="85">
        <f t="shared" si="24"/>
        <v>44936.708333333336</v>
      </c>
      <c r="C25" s="44">
        <f t="shared" si="24"/>
        <v>9</v>
      </c>
      <c r="D25" s="135">
        <v>17</v>
      </c>
      <c r="E25" s="86">
        <v>3760</v>
      </c>
      <c r="F25" s="44">
        <f t="shared" si="25"/>
        <v>8</v>
      </c>
      <c r="G25" s="137">
        <f t="shared" si="13"/>
        <v>44945.882352941182</v>
      </c>
      <c r="H25" s="152">
        <f t="shared" si="14"/>
        <v>9.2156862745098049</v>
      </c>
      <c r="I25" s="142">
        <f t="shared" si="15"/>
        <v>221.1764705882353</v>
      </c>
      <c r="J25" s="142">
        <f>VLOOKUP($D25,'Consumption Inputs'!$A$40:$I$118,3)</f>
        <v>150.82644628099175</v>
      </c>
      <c r="K25" s="142">
        <f>VLOOKUP($D25,'Consumption Inputs'!$A$40:$I$118,2)</f>
        <v>159.09090909090909</v>
      </c>
      <c r="L25" s="142">
        <f>VLOOKUP($D25,'Consumption Inputs'!$A$40:$I$118,4)</f>
        <v>75.377049180327873</v>
      </c>
      <c r="M25" s="142">
        <f>VLOOKUP($D25,'Consumption Inputs'!$A$40:$I$118,5)</f>
        <v>71.461358313817328</v>
      </c>
      <c r="N25" s="142">
        <f>VLOOKUP($D25,'Consumption Inputs'!$A$40:$I$118,6)</f>
        <v>77</v>
      </c>
      <c r="O25" s="142">
        <f>VLOOKUP($D25,'Consumption Inputs'!$A$40:$I$118,7)</f>
        <v>73</v>
      </c>
      <c r="P25" s="142">
        <f>VLOOKUP($D25,'Consumption Inputs'!$A$40:$I$118,8)</f>
        <v>0</v>
      </c>
      <c r="Q25" s="142">
        <f>VLOOKUP($D25,'Consumption Inputs'!$A$40:$I$118,9)</f>
        <v>0.7</v>
      </c>
      <c r="R25" s="142">
        <f t="shared" si="16"/>
        <v>1389.969210824826</v>
      </c>
      <c r="S25" s="142">
        <f t="shared" si="17"/>
        <v>1466.131907308378</v>
      </c>
      <c r="T25" s="142">
        <f t="shared" si="18"/>
        <v>694.65123754419812</v>
      </c>
      <c r="U25" s="142">
        <f t="shared" si="19"/>
        <v>658.56545897047351</v>
      </c>
      <c r="V25" s="142">
        <f t="shared" si="20"/>
        <v>709.60784313725503</v>
      </c>
      <c r="W25" s="142">
        <f t="shared" si="21"/>
        <v>672.7450980392158</v>
      </c>
      <c r="X25" s="142">
        <f t="shared" si="22"/>
        <v>0</v>
      </c>
      <c r="Y25" s="142">
        <f t="shared" si="23"/>
        <v>6.4509803921568629</v>
      </c>
    </row>
    <row r="26" spans="1:25" ht="20.100000000000001" customHeight="1" x14ac:dyDescent="0.2">
      <c r="A26" s="44" t="s">
        <v>184</v>
      </c>
      <c r="B26" s="85">
        <f t="shared" si="24"/>
        <v>44936.708333333336</v>
      </c>
      <c r="C26" s="44">
        <f t="shared" si="24"/>
        <v>9</v>
      </c>
      <c r="D26" s="135">
        <v>18</v>
      </c>
      <c r="E26" s="86">
        <v>3760</v>
      </c>
      <c r="F26" s="44">
        <f t="shared" si="25"/>
        <v>8</v>
      </c>
      <c r="G26" s="137">
        <f t="shared" si="13"/>
        <v>44945.370370370372</v>
      </c>
      <c r="H26" s="152">
        <f t="shared" si="14"/>
        <v>8.7037037037037042</v>
      </c>
      <c r="I26" s="142">
        <f t="shared" si="15"/>
        <v>208.88888888888889</v>
      </c>
      <c r="J26" s="142">
        <f>VLOOKUP($D26,'Consumption Inputs'!$A$40:$I$118,3)</f>
        <v>171.48760330578514</v>
      </c>
      <c r="K26" s="142">
        <f>VLOOKUP($D26,'Consumption Inputs'!$A$40:$I$118,2)</f>
        <v>183.88429752066116</v>
      </c>
      <c r="L26" s="142">
        <f>VLOOKUP($D26,'Consumption Inputs'!$A$40:$I$118,4)</f>
        <v>87.124121779859479</v>
      </c>
      <c r="M26" s="142">
        <f>VLOOKUP($D26,'Consumption Inputs'!$A$40:$I$118,5)</f>
        <v>81.250585480093662</v>
      </c>
      <c r="N26" s="142">
        <f>VLOOKUP($D26,'Consumption Inputs'!$A$40:$I$118,6)</f>
        <v>89</v>
      </c>
      <c r="O26" s="142">
        <f>VLOOKUP($D26,'Consumption Inputs'!$A$40:$I$118,7)</f>
        <v>82.999999999999986</v>
      </c>
      <c r="P26" s="142">
        <f>VLOOKUP($D26,'Consumption Inputs'!$A$40:$I$118,8)</f>
        <v>0</v>
      </c>
      <c r="Q26" s="142">
        <f>VLOOKUP($D26,'Consumption Inputs'!$A$40:$I$118,9)</f>
        <v>0.7</v>
      </c>
      <c r="R26" s="142">
        <f t="shared" si="16"/>
        <v>1492.5772880318336</v>
      </c>
      <c r="S26" s="142">
        <f t="shared" si="17"/>
        <v>1600.4744413835324</v>
      </c>
      <c r="T26" s="142">
        <f t="shared" si="18"/>
        <v>758.30254141729552</v>
      </c>
      <c r="U26" s="142">
        <f t="shared" si="19"/>
        <v>707.18102177118556</v>
      </c>
      <c r="V26" s="142">
        <f t="shared" si="20"/>
        <v>774.62962962962968</v>
      </c>
      <c r="W26" s="142">
        <f t="shared" si="21"/>
        <v>722.40740740740728</v>
      </c>
      <c r="X26" s="142">
        <f t="shared" si="22"/>
        <v>0</v>
      </c>
      <c r="Y26" s="142">
        <f t="shared" si="23"/>
        <v>6.0925925925925926</v>
      </c>
    </row>
    <row r="27" spans="1:25" ht="20.100000000000001" customHeight="1" x14ac:dyDescent="0.2">
      <c r="A27" s="44" t="s">
        <v>184</v>
      </c>
      <c r="B27" s="85">
        <f t="shared" si="24"/>
        <v>44936.708333333336</v>
      </c>
      <c r="C27" s="44">
        <f t="shared" si="24"/>
        <v>9</v>
      </c>
      <c r="D27" s="135">
        <v>19</v>
      </c>
      <c r="E27" s="86">
        <v>3760</v>
      </c>
      <c r="F27" s="44">
        <f t="shared" si="25"/>
        <v>8</v>
      </c>
      <c r="G27" s="137">
        <f t="shared" si="13"/>
        <v>44944.912280701756</v>
      </c>
      <c r="H27" s="152">
        <f t="shared" si="14"/>
        <v>8.2456140350877192</v>
      </c>
      <c r="I27" s="142">
        <f t="shared" si="15"/>
        <v>197.89473684210526</v>
      </c>
      <c r="J27" s="142">
        <f>VLOOKUP($D27,'Consumption Inputs'!$A$40:$I$118,3)</f>
        <v>194.21487603305786</v>
      </c>
      <c r="K27" s="142">
        <f>VLOOKUP($D27,'Consumption Inputs'!$A$40:$I$118,2)</f>
        <v>208.67768595041323</v>
      </c>
      <c r="L27" s="142">
        <f>VLOOKUP($D27,'Consumption Inputs'!$A$40:$I$118,4)</f>
        <v>98.871194379391099</v>
      </c>
      <c r="M27" s="142">
        <f>VLOOKUP($D27,'Consumption Inputs'!$A$40:$I$118,5)</f>
        <v>92.01873536299766</v>
      </c>
      <c r="N27" s="142">
        <f>VLOOKUP($D27,'Consumption Inputs'!$A$40:$I$118,6)</f>
        <v>101</v>
      </c>
      <c r="O27" s="142">
        <f>VLOOKUP($D27,'Consumption Inputs'!$A$40:$I$118,7)</f>
        <v>94.000000000000014</v>
      </c>
      <c r="P27" s="142">
        <f>VLOOKUP($D27,'Consumption Inputs'!$A$40:$I$118,8)</f>
        <v>0</v>
      </c>
      <c r="Q27" s="142">
        <f>VLOOKUP($D27,'Consumption Inputs'!$A$40:$I$118,9)</f>
        <v>0.8</v>
      </c>
      <c r="R27" s="142">
        <f t="shared" si="16"/>
        <v>1601.4209076410034</v>
      </c>
      <c r="S27" s="142">
        <f t="shared" si="17"/>
        <v>1720.6756560823546</v>
      </c>
      <c r="T27" s="142">
        <f t="shared" si="18"/>
        <v>815.25370804059321</v>
      </c>
      <c r="U27" s="142">
        <f t="shared" si="19"/>
        <v>758.75097580015608</v>
      </c>
      <c r="V27" s="142">
        <f t="shared" si="20"/>
        <v>832.80701754385962</v>
      </c>
      <c r="W27" s="142">
        <f t="shared" si="21"/>
        <v>775.0877192982457</v>
      </c>
      <c r="X27" s="142">
        <f t="shared" si="22"/>
        <v>0</v>
      </c>
      <c r="Y27" s="142">
        <f t="shared" si="23"/>
        <v>6.5964912280701755</v>
      </c>
    </row>
    <row r="28" spans="1:25" ht="20.100000000000001" customHeight="1" x14ac:dyDescent="0.2">
      <c r="A28" s="44" t="s">
        <v>184</v>
      </c>
      <c r="B28" s="85">
        <f t="shared" si="24"/>
        <v>44936.708333333336</v>
      </c>
      <c r="C28" s="44">
        <f t="shared" si="24"/>
        <v>9</v>
      </c>
      <c r="D28" s="135">
        <v>19.5</v>
      </c>
      <c r="E28" s="86">
        <v>3760</v>
      </c>
      <c r="F28" s="44">
        <f t="shared" si="25"/>
        <v>8</v>
      </c>
      <c r="G28" s="137">
        <f t="shared" si="13"/>
        <v>44944.700854700859</v>
      </c>
      <c r="H28" s="152">
        <f t="shared" si="14"/>
        <v>8.0341880341880341</v>
      </c>
      <c r="I28" s="142">
        <f t="shared" si="15"/>
        <v>192.82051282051282</v>
      </c>
      <c r="J28" s="142">
        <f>VLOOKUP($D28,'Consumption Inputs'!$A$40:$I$118,3)</f>
        <v>206.61157024793388</v>
      </c>
      <c r="K28" s="142">
        <f>VLOOKUP($D28,'Consumption Inputs'!$A$40:$I$118,2)</f>
        <v>219.00826446280993</v>
      </c>
      <c r="L28" s="142">
        <f>VLOOKUP($D28,'Consumption Inputs'!$A$40:$I$118,4)</f>
        <v>103.76580796252928</v>
      </c>
      <c r="M28" s="142">
        <f>VLOOKUP($D28,'Consumption Inputs'!$A$40:$I$118,5)</f>
        <v>97.892271662763463</v>
      </c>
      <c r="N28" s="142">
        <f>VLOOKUP($D28,'Consumption Inputs'!$A$40:$I$118,6)</f>
        <v>106</v>
      </c>
      <c r="O28" s="142">
        <f>VLOOKUP($D28,'Consumption Inputs'!$A$40:$I$118,7)</f>
        <v>100</v>
      </c>
      <c r="P28" s="142">
        <f>VLOOKUP($D28,'Consumption Inputs'!$A$40:$I$118,8)</f>
        <v>0</v>
      </c>
      <c r="Q28" s="142">
        <f>VLOOKUP($D28,'Consumption Inputs'!$A$40:$I$118,9)</f>
        <v>0.8</v>
      </c>
      <c r="R28" s="142">
        <f t="shared" si="16"/>
        <v>1659.9562054107507</v>
      </c>
      <c r="S28" s="142">
        <f t="shared" si="17"/>
        <v>1759.5535777353959</v>
      </c>
      <c r="T28" s="142">
        <f t="shared" si="18"/>
        <v>833.67401269040613</v>
      </c>
      <c r="U28" s="142">
        <f t="shared" si="19"/>
        <v>786.48491763245863</v>
      </c>
      <c r="V28" s="142">
        <f t="shared" si="20"/>
        <v>851.62393162393164</v>
      </c>
      <c r="W28" s="142">
        <f t="shared" si="21"/>
        <v>803.41880341880346</v>
      </c>
      <c r="X28" s="142">
        <f t="shared" si="22"/>
        <v>0</v>
      </c>
      <c r="Y28" s="142">
        <f t="shared" si="23"/>
        <v>6.4273504273504276</v>
      </c>
    </row>
    <row r="29" spans="1:25" ht="20.100000000000001" customHeight="1" x14ac:dyDescent="0.2">
      <c r="A29" s="44" t="s">
        <v>173</v>
      </c>
      <c r="B29" s="85">
        <f ca="1">NOW()</f>
        <v>45200.432514120374</v>
      </c>
      <c r="C29" s="44">
        <f t="shared" si="24"/>
        <v>9</v>
      </c>
      <c r="D29" s="135">
        <v>12.7</v>
      </c>
      <c r="E29" s="86">
        <v>2500</v>
      </c>
      <c r="F29" s="44">
        <f t="shared" si="25"/>
        <v>8</v>
      </c>
      <c r="G29" s="137">
        <f t="shared" ca="1" si="13"/>
        <v>45208.592947191239</v>
      </c>
      <c r="H29" s="152">
        <f t="shared" ca="1" si="14"/>
        <v>8.2020997375328086</v>
      </c>
      <c r="I29" s="142">
        <f t="shared" ca="1" si="15"/>
        <v>196.85039370078741</v>
      </c>
      <c r="J29" s="142">
        <f>VLOOKUP($D29,'Consumption Inputs'!$A$40:$I$118,3)</f>
        <v>91.942148760330625</v>
      </c>
      <c r="K29" s="142">
        <f>VLOOKUP($D29,'Consumption Inputs'!$A$40:$I$118,2)</f>
        <v>93.388429752066131</v>
      </c>
      <c r="L29" s="142">
        <f>VLOOKUP($D29,'Consumption Inputs'!$A$40:$I$118,4)</f>
        <v>44.247306791569102</v>
      </c>
      <c r="M29" s="142">
        <f>VLOOKUP($D29,'Consumption Inputs'!$A$40:$I$118,5)</f>
        <v>43.562060889929747</v>
      </c>
      <c r="N29" s="142">
        <f>VLOOKUP($D29,'Consumption Inputs'!$A$40:$I$118,6)</f>
        <v>45.20000000000001</v>
      </c>
      <c r="O29" s="142">
        <f>VLOOKUP($D29,'Consumption Inputs'!$A$40:$I$118,7)</f>
        <v>44.5</v>
      </c>
      <c r="P29" s="142">
        <f>VLOOKUP($D29,'Consumption Inputs'!$A$40:$I$118,8)</f>
        <v>0</v>
      </c>
      <c r="Q29" s="142">
        <f>VLOOKUP($D29,'Consumption Inputs'!$A$40:$I$118,9)</f>
        <v>0.6</v>
      </c>
      <c r="R29" s="142">
        <f t="shared" ca="1" si="16"/>
        <v>754.11867421531031</v>
      </c>
      <c r="S29" s="142">
        <f t="shared" ca="1" si="17"/>
        <v>765.98121515802279</v>
      </c>
      <c r="T29" s="142">
        <f t="shared" ca="1" si="18"/>
        <v>362.92082342166259</v>
      </c>
      <c r="U29" s="142">
        <f t="shared" ca="1" si="19"/>
        <v>357.300368191681</v>
      </c>
      <c r="V29" s="142">
        <f t="shared" ca="1" si="20"/>
        <v>370.73490813648306</v>
      </c>
      <c r="W29" s="142">
        <f t="shared" ca="1" si="21"/>
        <v>364.99343832020998</v>
      </c>
      <c r="X29" s="142">
        <f t="shared" ca="1" si="22"/>
        <v>0</v>
      </c>
      <c r="Y29" s="142">
        <f t="shared" ca="1" si="23"/>
        <v>4.9212598425196852</v>
      </c>
    </row>
    <row r="32" spans="1:25" ht="20.100000000000001" customHeight="1" x14ac:dyDescent="0.2">
      <c r="A32" s="44" t="s">
        <v>172</v>
      </c>
      <c r="B32" s="85">
        <v>44936.708333333336</v>
      </c>
      <c r="C32" s="44">
        <v>9</v>
      </c>
      <c r="D32" s="135">
        <v>12.5</v>
      </c>
      <c r="E32" s="86">
        <v>3760</v>
      </c>
      <c r="F32" s="44">
        <v>8</v>
      </c>
      <c r="G32" s="137">
        <f t="shared" ref="G32:G42" si="26">IF(OR(B32="",D32=""),"",(B32-C32/24)+(H32+F32/24))</f>
        <v>44949.200000000004</v>
      </c>
      <c r="H32" s="152">
        <f t="shared" ref="H32:H42" si="27">I32/24</f>
        <v>12.533333333333333</v>
      </c>
      <c r="I32" s="142">
        <f t="shared" ref="I32:I42" si="28">IF(OR(B32="",D32="",D32=0),0,E32/D32)</f>
        <v>300.8</v>
      </c>
      <c r="J32" s="142">
        <f>VLOOKUP($D32,'Consumption Inputs'!$A$40:$I$118,3)</f>
        <v>89.876033057851274</v>
      </c>
      <c r="K32" s="142">
        <f>VLOOKUP($D32,'Consumption Inputs'!$A$40:$I$118,2)</f>
        <v>90.909090909090921</v>
      </c>
      <c r="L32" s="142">
        <f>VLOOKUP($D32,'Consumption Inputs'!$A$40:$I$118,4)</f>
        <v>43.072599531615936</v>
      </c>
      <c r="M32" s="142">
        <f>VLOOKUP($D32,'Consumption Inputs'!$A$40:$I$118,5)</f>
        <v>42.58313817330211</v>
      </c>
      <c r="N32" s="142">
        <f>VLOOKUP($D32,'Consumption Inputs'!$A$40:$I$118,6)</f>
        <v>44.000000000000007</v>
      </c>
      <c r="O32" s="142">
        <f>VLOOKUP($D32,'Consumption Inputs'!$A$40:$I$118,7)</f>
        <v>43.5</v>
      </c>
      <c r="P32" s="142">
        <f>VLOOKUP($D32,'Consumption Inputs'!$A$40:$I$118,8)</f>
        <v>0</v>
      </c>
      <c r="Q32" s="142">
        <f>VLOOKUP($D32,'Consumption Inputs'!$A$40:$I$118,9)</f>
        <v>0.6</v>
      </c>
      <c r="R32" s="142">
        <f t="shared" ref="R32:R42" si="29">$H32*J32</f>
        <v>1126.4462809917359</v>
      </c>
      <c r="S32" s="142">
        <f t="shared" ref="S32:S42" si="30">$H32*K32</f>
        <v>1139.3939393939395</v>
      </c>
      <c r="T32" s="142">
        <f t="shared" ref="T32:T42" si="31">$H32*L32</f>
        <v>539.84324746291975</v>
      </c>
      <c r="U32" s="142">
        <f t="shared" ref="U32:U42" si="32">$H32*M32</f>
        <v>533.70866510538644</v>
      </c>
      <c r="V32" s="142">
        <f t="shared" ref="V32:V42" si="33">$H32*N32</f>
        <v>551.4666666666667</v>
      </c>
      <c r="W32" s="142">
        <f t="shared" ref="W32:W42" si="34">$H32*O32</f>
        <v>545.20000000000005</v>
      </c>
      <c r="X32" s="142">
        <f t="shared" ref="X32:X42" si="35">$H32*P32</f>
        <v>0</v>
      </c>
      <c r="Y32" s="142">
        <f t="shared" ref="Y32:Y42" si="36">$H32*Q32</f>
        <v>7.52</v>
      </c>
    </row>
    <row r="33" spans="1:25" ht="20.100000000000001" customHeight="1" x14ac:dyDescent="0.2">
      <c r="A33" s="44" t="s">
        <v>185</v>
      </c>
      <c r="B33" s="85">
        <f>B32</f>
        <v>44936.708333333336</v>
      </c>
      <c r="C33" s="44">
        <f>C32</f>
        <v>9</v>
      </c>
      <c r="D33" s="135">
        <v>12</v>
      </c>
      <c r="E33" s="86">
        <v>3760</v>
      </c>
      <c r="F33" s="44">
        <f>F32</f>
        <v>8</v>
      </c>
      <c r="G33" s="137">
        <f t="shared" si="26"/>
        <v>44949.722222222226</v>
      </c>
      <c r="H33" s="152">
        <f t="shared" si="27"/>
        <v>13.055555555555555</v>
      </c>
      <c r="I33" s="142">
        <f t="shared" si="28"/>
        <v>313.33333333333331</v>
      </c>
      <c r="J33" s="142">
        <f>VLOOKUP($D33,'Consumption Inputs'!$A$40:$I$118,3)</f>
        <v>84.710743801652896</v>
      </c>
      <c r="K33" s="142">
        <f>VLOOKUP($D33,'Consumption Inputs'!$A$40:$I$118,2)</f>
        <v>84.710743801652896</v>
      </c>
      <c r="L33" s="142">
        <f>VLOOKUP($D33,'Consumption Inputs'!$A$40:$I$118,4)</f>
        <v>40.13583138173302</v>
      </c>
      <c r="M33" s="142">
        <f>VLOOKUP($D33,'Consumption Inputs'!$A$40:$I$118,5)</f>
        <v>40.13583138173302</v>
      </c>
      <c r="N33" s="142">
        <f>VLOOKUP($D33,'Consumption Inputs'!$A$40:$I$118,6)</f>
        <v>41</v>
      </c>
      <c r="O33" s="142">
        <f>VLOOKUP($D33,'Consumption Inputs'!$A$40:$I$118,7)</f>
        <v>41</v>
      </c>
      <c r="P33" s="142">
        <f>VLOOKUP($D33,'Consumption Inputs'!$A$40:$I$118,8)</f>
        <v>0</v>
      </c>
      <c r="Q33" s="142">
        <f>VLOOKUP($D33,'Consumption Inputs'!$A$40:$I$118,9)</f>
        <v>0.6</v>
      </c>
      <c r="R33" s="142">
        <f t="shared" si="29"/>
        <v>1105.9458218549128</v>
      </c>
      <c r="S33" s="142">
        <f t="shared" si="30"/>
        <v>1105.9458218549128</v>
      </c>
      <c r="T33" s="142">
        <f t="shared" si="31"/>
        <v>523.99557637262558</v>
      </c>
      <c r="U33" s="142">
        <f t="shared" si="32"/>
        <v>523.99557637262558</v>
      </c>
      <c r="V33" s="142">
        <f t="shared" si="33"/>
        <v>535.27777777777771</v>
      </c>
      <c r="W33" s="142">
        <f t="shared" si="34"/>
        <v>535.27777777777771</v>
      </c>
      <c r="X33" s="142">
        <f t="shared" si="35"/>
        <v>0</v>
      </c>
      <c r="Y33" s="142">
        <f t="shared" si="36"/>
        <v>7.833333333333333</v>
      </c>
    </row>
    <row r="34" spans="1:25" ht="20.100000000000001" customHeight="1" x14ac:dyDescent="0.2">
      <c r="A34" s="44" t="s">
        <v>185</v>
      </c>
      <c r="B34" s="85">
        <f t="shared" ref="B34:C34" si="37">B33</f>
        <v>44936.708333333336</v>
      </c>
      <c r="C34" s="44">
        <f t="shared" si="37"/>
        <v>9</v>
      </c>
      <c r="D34" s="135">
        <v>13</v>
      </c>
      <c r="E34" s="86">
        <v>3760</v>
      </c>
      <c r="F34" s="44">
        <f t="shared" ref="F34:F42" si="38">F33</f>
        <v>8</v>
      </c>
      <c r="G34" s="137">
        <f t="shared" si="26"/>
        <v>44948.717948717953</v>
      </c>
      <c r="H34" s="152">
        <f t="shared" si="27"/>
        <v>12.051282051282051</v>
      </c>
      <c r="I34" s="142">
        <f t="shared" si="28"/>
        <v>289.23076923076923</v>
      </c>
      <c r="J34" s="142">
        <f>VLOOKUP($D34,'Consumption Inputs'!$A$40:$I$118,3)</f>
        <v>95.041322314049594</v>
      </c>
      <c r="K34" s="142">
        <f>VLOOKUP($D34,'Consumption Inputs'!$A$40:$I$118,2)</f>
        <v>97.107438016528931</v>
      </c>
      <c r="L34" s="142">
        <f>VLOOKUP($D34,'Consumption Inputs'!$A$40:$I$118,4)</f>
        <v>46.00936768149883</v>
      </c>
      <c r="M34" s="142">
        <f>VLOOKUP($D34,'Consumption Inputs'!$A$40:$I$118,5)</f>
        <v>45.030444964871194</v>
      </c>
      <c r="N34" s="142">
        <f>VLOOKUP($D34,'Consumption Inputs'!$A$40:$I$118,6)</f>
        <v>47.000000000000007</v>
      </c>
      <c r="O34" s="142">
        <f>VLOOKUP($D34,'Consumption Inputs'!$A$40:$I$118,7)</f>
        <v>46</v>
      </c>
      <c r="P34" s="142">
        <f>VLOOKUP($D34,'Consumption Inputs'!$A$40:$I$118,8)</f>
        <v>0</v>
      </c>
      <c r="Q34" s="142">
        <f>VLOOKUP($D34,'Consumption Inputs'!$A$40:$I$118,9)</f>
        <v>0.6</v>
      </c>
      <c r="R34" s="142">
        <f t="shared" si="29"/>
        <v>1145.3697817334182</v>
      </c>
      <c r="S34" s="142">
        <f t="shared" si="30"/>
        <v>1170.2691248145793</v>
      </c>
      <c r="T34" s="142">
        <f t="shared" si="31"/>
        <v>554.47186693088338</v>
      </c>
      <c r="U34" s="142">
        <f t="shared" si="32"/>
        <v>542.67459316639645</v>
      </c>
      <c r="V34" s="142">
        <f t="shared" si="33"/>
        <v>566.41025641025647</v>
      </c>
      <c r="W34" s="142">
        <f t="shared" si="34"/>
        <v>554.35897435897436</v>
      </c>
      <c r="X34" s="142">
        <f t="shared" si="35"/>
        <v>0</v>
      </c>
      <c r="Y34" s="142">
        <f t="shared" si="36"/>
        <v>7.2307692307692299</v>
      </c>
    </row>
    <row r="35" spans="1:25" ht="20.100000000000001" customHeight="1" x14ac:dyDescent="0.2">
      <c r="A35" s="44" t="s">
        <v>185</v>
      </c>
      <c r="B35" s="85">
        <f t="shared" ref="B35:C35" si="39">B34</f>
        <v>44936.708333333336</v>
      </c>
      <c r="C35" s="44">
        <f t="shared" si="39"/>
        <v>9</v>
      </c>
      <c r="D35" s="135">
        <v>14</v>
      </c>
      <c r="E35" s="86">
        <v>3760</v>
      </c>
      <c r="F35" s="44">
        <f t="shared" si="38"/>
        <v>8</v>
      </c>
      <c r="G35" s="137">
        <f t="shared" si="26"/>
        <v>44947.857142857145</v>
      </c>
      <c r="H35" s="152">
        <f t="shared" si="27"/>
        <v>11.19047619047619</v>
      </c>
      <c r="I35" s="142">
        <f t="shared" si="28"/>
        <v>268.57142857142856</v>
      </c>
      <c r="J35" s="142">
        <f>VLOOKUP($D35,'Consumption Inputs'!$A$40:$I$118,3)</f>
        <v>107.43801652892563</v>
      </c>
      <c r="K35" s="142">
        <f>VLOOKUP($D35,'Consumption Inputs'!$A$40:$I$118,2)</f>
        <v>113.63636363636364</v>
      </c>
      <c r="L35" s="142">
        <f>VLOOKUP($D35,'Consumption Inputs'!$A$40:$I$118,4)</f>
        <v>53.840749414519905</v>
      </c>
      <c r="M35" s="142">
        <f>VLOOKUP($D35,'Consumption Inputs'!$A$40:$I$118,5)</f>
        <v>50.903981264637004</v>
      </c>
      <c r="N35" s="142">
        <f>VLOOKUP($D35,'Consumption Inputs'!$A$40:$I$118,6)</f>
        <v>55</v>
      </c>
      <c r="O35" s="142">
        <f>VLOOKUP($D35,'Consumption Inputs'!$A$40:$I$118,7)</f>
        <v>52.000000000000007</v>
      </c>
      <c r="P35" s="142">
        <f>VLOOKUP($D35,'Consumption Inputs'!$A$40:$I$118,8)</f>
        <v>0</v>
      </c>
      <c r="Q35" s="142">
        <f>VLOOKUP($D35,'Consumption Inputs'!$A$40:$I$118,9)</f>
        <v>0.6</v>
      </c>
      <c r="R35" s="142">
        <f t="shared" si="29"/>
        <v>1202.2825659189295</v>
      </c>
      <c r="S35" s="142">
        <f t="shared" si="30"/>
        <v>1271.6450216450216</v>
      </c>
      <c r="T35" s="142">
        <f t="shared" si="31"/>
        <v>602.50362440057984</v>
      </c>
      <c r="U35" s="142">
        <f t="shared" si="32"/>
        <v>569.63979034236638</v>
      </c>
      <c r="V35" s="142">
        <f t="shared" si="33"/>
        <v>615.47619047619048</v>
      </c>
      <c r="W35" s="142">
        <f t="shared" si="34"/>
        <v>581.90476190476193</v>
      </c>
      <c r="X35" s="142">
        <f t="shared" si="35"/>
        <v>0</v>
      </c>
      <c r="Y35" s="142">
        <f t="shared" si="36"/>
        <v>6.7142857142857135</v>
      </c>
    </row>
    <row r="36" spans="1:25" ht="20.100000000000001" customHeight="1" x14ac:dyDescent="0.2">
      <c r="A36" s="44" t="s">
        <v>185</v>
      </c>
      <c r="B36" s="85">
        <f t="shared" ref="B36:C36" si="40">B35</f>
        <v>44936.708333333336</v>
      </c>
      <c r="C36" s="44">
        <f t="shared" si="40"/>
        <v>9</v>
      </c>
      <c r="D36" s="135">
        <v>15</v>
      </c>
      <c r="E36" s="86">
        <v>3760</v>
      </c>
      <c r="F36" s="44">
        <f t="shared" si="38"/>
        <v>8</v>
      </c>
      <c r="G36" s="137">
        <f t="shared" si="26"/>
        <v>44947.111111111117</v>
      </c>
      <c r="H36" s="152">
        <f t="shared" si="27"/>
        <v>10.444444444444445</v>
      </c>
      <c r="I36" s="142">
        <f t="shared" si="28"/>
        <v>250.66666666666666</v>
      </c>
      <c r="J36" s="142">
        <f>VLOOKUP($D36,'Consumption Inputs'!$A$40:$I$118,3)</f>
        <v>121.900826446281</v>
      </c>
      <c r="K36" s="142">
        <f>VLOOKUP($D36,'Consumption Inputs'!$A$40:$I$118,2)</f>
        <v>130.16528925619835</v>
      </c>
      <c r="L36" s="142">
        <f>VLOOKUP($D36,'Consumption Inputs'!$A$40:$I$118,4)</f>
        <v>61.672131147540981</v>
      </c>
      <c r="M36" s="142">
        <f>VLOOKUP($D36,'Consumption Inputs'!$A$40:$I$118,5)</f>
        <v>57.756440281030443</v>
      </c>
      <c r="N36" s="142">
        <f>VLOOKUP($D36,'Consumption Inputs'!$A$40:$I$118,6)</f>
        <v>63</v>
      </c>
      <c r="O36" s="142">
        <f>VLOOKUP($D36,'Consumption Inputs'!$A$40:$I$118,7)</f>
        <v>59</v>
      </c>
      <c r="P36" s="142">
        <f>VLOOKUP($D36,'Consumption Inputs'!$A$40:$I$118,8)</f>
        <v>0</v>
      </c>
      <c r="Q36" s="142">
        <f>VLOOKUP($D36,'Consumption Inputs'!$A$40:$I$118,9)</f>
        <v>0.7</v>
      </c>
      <c r="R36" s="142">
        <f t="shared" si="29"/>
        <v>1273.1864095500459</v>
      </c>
      <c r="S36" s="142">
        <f t="shared" si="30"/>
        <v>1359.504132231405</v>
      </c>
      <c r="T36" s="142">
        <f t="shared" si="31"/>
        <v>644.13114754098353</v>
      </c>
      <c r="U36" s="142">
        <f t="shared" si="32"/>
        <v>603.23393182409575</v>
      </c>
      <c r="V36" s="142">
        <f t="shared" si="33"/>
        <v>658</v>
      </c>
      <c r="W36" s="142">
        <f t="shared" si="34"/>
        <v>616.22222222222229</v>
      </c>
      <c r="X36" s="142">
        <f t="shared" si="35"/>
        <v>0</v>
      </c>
      <c r="Y36" s="142">
        <f t="shared" si="36"/>
        <v>7.3111111111111109</v>
      </c>
    </row>
    <row r="37" spans="1:25" ht="20.100000000000001" customHeight="1" x14ac:dyDescent="0.2">
      <c r="A37" s="44" t="s">
        <v>185</v>
      </c>
      <c r="B37" s="85">
        <f t="shared" ref="B37:C37" si="41">B36</f>
        <v>44936.708333333336</v>
      </c>
      <c r="C37" s="44">
        <f t="shared" si="41"/>
        <v>9</v>
      </c>
      <c r="D37" s="135">
        <v>16</v>
      </c>
      <c r="E37" s="86">
        <v>3760</v>
      </c>
      <c r="F37" s="44">
        <f t="shared" si="38"/>
        <v>8</v>
      </c>
      <c r="G37" s="137">
        <f t="shared" si="26"/>
        <v>44946.458333333336</v>
      </c>
      <c r="H37" s="152">
        <f t="shared" si="27"/>
        <v>9.7916666666666661</v>
      </c>
      <c r="I37" s="142">
        <f t="shared" si="28"/>
        <v>235</v>
      </c>
      <c r="J37" s="142">
        <f>VLOOKUP($D37,'Consumption Inputs'!$A$40:$I$118,3)</f>
        <v>136.36363636363637</v>
      </c>
      <c r="K37" s="142">
        <f>VLOOKUP($D37,'Consumption Inputs'!$A$40:$I$118,2)</f>
        <v>146.69421487603307</v>
      </c>
      <c r="L37" s="142">
        <f>VLOOKUP($D37,'Consumption Inputs'!$A$40:$I$118,4)</f>
        <v>69.503512880562056</v>
      </c>
      <c r="M37" s="142">
        <f>VLOOKUP($D37,'Consumption Inputs'!$A$40:$I$118,5)</f>
        <v>64.608899297423889</v>
      </c>
      <c r="N37" s="142">
        <f>VLOOKUP($D37,'Consumption Inputs'!$A$40:$I$118,6)</f>
        <v>71</v>
      </c>
      <c r="O37" s="142">
        <f>VLOOKUP($D37,'Consumption Inputs'!$A$40:$I$118,7)</f>
        <v>66</v>
      </c>
      <c r="P37" s="142">
        <f>VLOOKUP($D37,'Consumption Inputs'!$A$40:$I$118,8)</f>
        <v>0</v>
      </c>
      <c r="Q37" s="142">
        <f>VLOOKUP($D37,'Consumption Inputs'!$A$40:$I$118,9)</f>
        <v>0.7</v>
      </c>
      <c r="R37" s="142">
        <f t="shared" si="29"/>
        <v>1335.2272727272727</v>
      </c>
      <c r="S37" s="142">
        <f t="shared" si="30"/>
        <v>1436.3808539944905</v>
      </c>
      <c r="T37" s="142">
        <f t="shared" si="31"/>
        <v>680.55523028883681</v>
      </c>
      <c r="U37" s="142">
        <f t="shared" si="32"/>
        <v>632.62880562060889</v>
      </c>
      <c r="V37" s="142">
        <f t="shared" si="33"/>
        <v>695.20833333333326</v>
      </c>
      <c r="W37" s="142">
        <f t="shared" si="34"/>
        <v>646.25</v>
      </c>
      <c r="X37" s="142">
        <f t="shared" si="35"/>
        <v>0</v>
      </c>
      <c r="Y37" s="142">
        <f t="shared" si="36"/>
        <v>6.8541666666666661</v>
      </c>
    </row>
    <row r="38" spans="1:25" ht="20.100000000000001" customHeight="1" x14ac:dyDescent="0.2">
      <c r="A38" s="44" t="s">
        <v>185</v>
      </c>
      <c r="B38" s="85">
        <f t="shared" ref="B38:C38" si="42">B37</f>
        <v>44936.708333333336</v>
      </c>
      <c r="C38" s="44">
        <f t="shared" si="42"/>
        <v>9</v>
      </c>
      <c r="D38" s="135">
        <v>17</v>
      </c>
      <c r="E38" s="86">
        <v>3760</v>
      </c>
      <c r="F38" s="44">
        <f t="shared" si="38"/>
        <v>8</v>
      </c>
      <c r="G38" s="137">
        <f t="shared" si="26"/>
        <v>44945.882352941182</v>
      </c>
      <c r="H38" s="152">
        <f t="shared" si="27"/>
        <v>9.2156862745098049</v>
      </c>
      <c r="I38" s="142">
        <f t="shared" si="28"/>
        <v>221.1764705882353</v>
      </c>
      <c r="J38" s="142">
        <f>VLOOKUP($D38,'Consumption Inputs'!$A$40:$I$118,3)</f>
        <v>150.82644628099175</v>
      </c>
      <c r="K38" s="142">
        <f>VLOOKUP($D38,'Consumption Inputs'!$A$40:$I$118,2)</f>
        <v>159.09090909090909</v>
      </c>
      <c r="L38" s="142">
        <f>VLOOKUP($D38,'Consumption Inputs'!$A$40:$I$118,4)</f>
        <v>75.377049180327873</v>
      </c>
      <c r="M38" s="142">
        <f>VLOOKUP($D38,'Consumption Inputs'!$A$40:$I$118,5)</f>
        <v>71.461358313817328</v>
      </c>
      <c r="N38" s="142">
        <f>VLOOKUP($D38,'Consumption Inputs'!$A$40:$I$118,6)</f>
        <v>77</v>
      </c>
      <c r="O38" s="142">
        <f>VLOOKUP($D38,'Consumption Inputs'!$A$40:$I$118,7)</f>
        <v>73</v>
      </c>
      <c r="P38" s="142">
        <f>VLOOKUP($D38,'Consumption Inputs'!$A$40:$I$118,8)</f>
        <v>0</v>
      </c>
      <c r="Q38" s="142">
        <f>VLOOKUP($D38,'Consumption Inputs'!$A$40:$I$118,9)</f>
        <v>0.7</v>
      </c>
      <c r="R38" s="142">
        <f t="shared" si="29"/>
        <v>1389.969210824826</v>
      </c>
      <c r="S38" s="142">
        <f t="shared" si="30"/>
        <v>1466.131907308378</v>
      </c>
      <c r="T38" s="142">
        <f t="shared" si="31"/>
        <v>694.65123754419812</v>
      </c>
      <c r="U38" s="142">
        <f t="shared" si="32"/>
        <v>658.56545897047351</v>
      </c>
      <c r="V38" s="142">
        <f t="shared" si="33"/>
        <v>709.60784313725503</v>
      </c>
      <c r="W38" s="142">
        <f t="shared" si="34"/>
        <v>672.7450980392158</v>
      </c>
      <c r="X38" s="142">
        <f t="shared" si="35"/>
        <v>0</v>
      </c>
      <c r="Y38" s="142">
        <f t="shared" si="36"/>
        <v>6.4509803921568629</v>
      </c>
    </row>
    <row r="39" spans="1:25" ht="20.100000000000001" customHeight="1" x14ac:dyDescent="0.2">
      <c r="A39" s="44" t="s">
        <v>185</v>
      </c>
      <c r="B39" s="85">
        <f t="shared" ref="B39:C39" si="43">B38</f>
        <v>44936.708333333336</v>
      </c>
      <c r="C39" s="44">
        <f t="shared" si="43"/>
        <v>9</v>
      </c>
      <c r="D39" s="135">
        <v>18</v>
      </c>
      <c r="E39" s="86">
        <v>3760</v>
      </c>
      <c r="F39" s="44">
        <f t="shared" si="38"/>
        <v>8</v>
      </c>
      <c r="G39" s="137">
        <f t="shared" si="26"/>
        <v>44945.370370370372</v>
      </c>
      <c r="H39" s="152">
        <f t="shared" si="27"/>
        <v>8.7037037037037042</v>
      </c>
      <c r="I39" s="142">
        <f t="shared" si="28"/>
        <v>208.88888888888889</v>
      </c>
      <c r="J39" s="142">
        <f>VLOOKUP($D39,'Consumption Inputs'!$A$40:$I$118,3)</f>
        <v>171.48760330578514</v>
      </c>
      <c r="K39" s="142">
        <f>VLOOKUP($D39,'Consumption Inputs'!$A$40:$I$118,2)</f>
        <v>183.88429752066116</v>
      </c>
      <c r="L39" s="142">
        <f>VLOOKUP($D39,'Consumption Inputs'!$A$40:$I$118,4)</f>
        <v>87.124121779859479</v>
      </c>
      <c r="M39" s="142">
        <f>VLOOKUP($D39,'Consumption Inputs'!$A$40:$I$118,5)</f>
        <v>81.250585480093662</v>
      </c>
      <c r="N39" s="142">
        <f>VLOOKUP($D39,'Consumption Inputs'!$A$40:$I$118,6)</f>
        <v>89</v>
      </c>
      <c r="O39" s="142">
        <f>VLOOKUP($D39,'Consumption Inputs'!$A$40:$I$118,7)</f>
        <v>82.999999999999986</v>
      </c>
      <c r="P39" s="142">
        <f>VLOOKUP($D39,'Consumption Inputs'!$A$40:$I$118,8)</f>
        <v>0</v>
      </c>
      <c r="Q39" s="142">
        <f>VLOOKUP($D39,'Consumption Inputs'!$A$40:$I$118,9)</f>
        <v>0.7</v>
      </c>
      <c r="R39" s="142">
        <f t="shared" si="29"/>
        <v>1492.5772880318336</v>
      </c>
      <c r="S39" s="142">
        <f t="shared" si="30"/>
        <v>1600.4744413835324</v>
      </c>
      <c r="T39" s="142">
        <f t="shared" si="31"/>
        <v>758.30254141729552</v>
      </c>
      <c r="U39" s="142">
        <f t="shared" si="32"/>
        <v>707.18102177118556</v>
      </c>
      <c r="V39" s="142">
        <f t="shared" si="33"/>
        <v>774.62962962962968</v>
      </c>
      <c r="W39" s="142">
        <f t="shared" si="34"/>
        <v>722.40740740740728</v>
      </c>
      <c r="X39" s="142">
        <f t="shared" si="35"/>
        <v>0</v>
      </c>
      <c r="Y39" s="142">
        <f t="shared" si="36"/>
        <v>6.0925925925925926</v>
      </c>
    </row>
    <row r="40" spans="1:25" ht="20.100000000000001" customHeight="1" x14ac:dyDescent="0.2">
      <c r="A40" s="44" t="s">
        <v>185</v>
      </c>
      <c r="B40" s="85">
        <f t="shared" ref="B40:C40" si="44">B39</f>
        <v>44936.708333333336</v>
      </c>
      <c r="C40" s="44">
        <f t="shared" si="44"/>
        <v>9</v>
      </c>
      <c r="D40" s="135">
        <v>19</v>
      </c>
      <c r="E40" s="86">
        <v>3760</v>
      </c>
      <c r="F40" s="44">
        <f t="shared" si="38"/>
        <v>8</v>
      </c>
      <c r="G40" s="137">
        <f t="shared" si="26"/>
        <v>44944.912280701756</v>
      </c>
      <c r="H40" s="152">
        <f t="shared" si="27"/>
        <v>8.2456140350877192</v>
      </c>
      <c r="I40" s="142">
        <f t="shared" si="28"/>
        <v>197.89473684210526</v>
      </c>
      <c r="J40" s="142">
        <f>VLOOKUP($D40,'Consumption Inputs'!$A$40:$I$118,3)</f>
        <v>194.21487603305786</v>
      </c>
      <c r="K40" s="142">
        <f>VLOOKUP($D40,'Consumption Inputs'!$A$40:$I$118,2)</f>
        <v>208.67768595041323</v>
      </c>
      <c r="L40" s="142">
        <f>VLOOKUP($D40,'Consumption Inputs'!$A$40:$I$118,4)</f>
        <v>98.871194379391099</v>
      </c>
      <c r="M40" s="142">
        <f>VLOOKUP($D40,'Consumption Inputs'!$A$40:$I$118,5)</f>
        <v>92.01873536299766</v>
      </c>
      <c r="N40" s="142">
        <f>VLOOKUP($D40,'Consumption Inputs'!$A$40:$I$118,6)</f>
        <v>101</v>
      </c>
      <c r="O40" s="142">
        <f>VLOOKUP($D40,'Consumption Inputs'!$A$40:$I$118,7)</f>
        <v>94.000000000000014</v>
      </c>
      <c r="P40" s="142">
        <f>VLOOKUP($D40,'Consumption Inputs'!$A$40:$I$118,8)</f>
        <v>0</v>
      </c>
      <c r="Q40" s="142">
        <f>VLOOKUP($D40,'Consumption Inputs'!$A$40:$I$118,9)</f>
        <v>0.8</v>
      </c>
      <c r="R40" s="142">
        <f t="shared" si="29"/>
        <v>1601.4209076410034</v>
      </c>
      <c r="S40" s="142">
        <f t="shared" si="30"/>
        <v>1720.6756560823546</v>
      </c>
      <c r="T40" s="142">
        <f t="shared" si="31"/>
        <v>815.25370804059321</v>
      </c>
      <c r="U40" s="142">
        <f t="shared" si="32"/>
        <v>758.75097580015608</v>
      </c>
      <c r="V40" s="142">
        <f t="shared" si="33"/>
        <v>832.80701754385962</v>
      </c>
      <c r="W40" s="142">
        <f t="shared" si="34"/>
        <v>775.0877192982457</v>
      </c>
      <c r="X40" s="142">
        <f t="shared" si="35"/>
        <v>0</v>
      </c>
      <c r="Y40" s="142">
        <f t="shared" si="36"/>
        <v>6.5964912280701755</v>
      </c>
    </row>
    <row r="41" spans="1:25" ht="20.100000000000001" customHeight="1" x14ac:dyDescent="0.2">
      <c r="A41" s="44" t="s">
        <v>185</v>
      </c>
      <c r="B41" s="85">
        <f t="shared" ref="B41:C41" si="45">B40</f>
        <v>44936.708333333336</v>
      </c>
      <c r="C41" s="44">
        <f t="shared" si="45"/>
        <v>9</v>
      </c>
      <c r="D41" s="135">
        <v>19.5</v>
      </c>
      <c r="E41" s="86">
        <v>3760</v>
      </c>
      <c r="F41" s="44">
        <f t="shared" si="38"/>
        <v>8</v>
      </c>
      <c r="G41" s="137">
        <f t="shared" si="26"/>
        <v>44944.700854700859</v>
      </c>
      <c r="H41" s="152">
        <f t="shared" si="27"/>
        <v>8.0341880341880341</v>
      </c>
      <c r="I41" s="142">
        <f t="shared" si="28"/>
        <v>192.82051282051282</v>
      </c>
      <c r="J41" s="142">
        <f>VLOOKUP($D41,'Consumption Inputs'!$A$40:$I$118,3)</f>
        <v>206.61157024793388</v>
      </c>
      <c r="K41" s="142">
        <f>VLOOKUP($D41,'Consumption Inputs'!$A$40:$I$118,2)</f>
        <v>219.00826446280993</v>
      </c>
      <c r="L41" s="142">
        <f>VLOOKUP($D41,'Consumption Inputs'!$A$40:$I$118,4)</f>
        <v>103.76580796252928</v>
      </c>
      <c r="M41" s="142">
        <f>VLOOKUP($D41,'Consumption Inputs'!$A$40:$I$118,5)</f>
        <v>97.892271662763463</v>
      </c>
      <c r="N41" s="142">
        <f>VLOOKUP($D41,'Consumption Inputs'!$A$40:$I$118,6)</f>
        <v>106</v>
      </c>
      <c r="O41" s="142">
        <f>VLOOKUP($D41,'Consumption Inputs'!$A$40:$I$118,7)</f>
        <v>100</v>
      </c>
      <c r="P41" s="142">
        <f>VLOOKUP($D41,'Consumption Inputs'!$A$40:$I$118,8)</f>
        <v>0</v>
      </c>
      <c r="Q41" s="142">
        <f>VLOOKUP($D41,'Consumption Inputs'!$A$40:$I$118,9)</f>
        <v>0.8</v>
      </c>
      <c r="R41" s="142">
        <f t="shared" si="29"/>
        <v>1659.9562054107507</v>
      </c>
      <c r="S41" s="142">
        <f t="shared" si="30"/>
        <v>1759.5535777353959</v>
      </c>
      <c r="T41" s="142">
        <f t="shared" si="31"/>
        <v>833.67401269040613</v>
      </c>
      <c r="U41" s="142">
        <f t="shared" si="32"/>
        <v>786.48491763245863</v>
      </c>
      <c r="V41" s="142">
        <f t="shared" si="33"/>
        <v>851.62393162393164</v>
      </c>
      <c r="W41" s="142">
        <f t="shared" si="34"/>
        <v>803.41880341880346</v>
      </c>
      <c r="X41" s="142">
        <f t="shared" si="35"/>
        <v>0</v>
      </c>
      <c r="Y41" s="142">
        <f t="shared" si="36"/>
        <v>6.4273504273504276</v>
      </c>
    </row>
    <row r="42" spans="1:25" ht="20.100000000000001" customHeight="1" x14ac:dyDescent="0.2">
      <c r="A42" s="44" t="s">
        <v>173</v>
      </c>
      <c r="B42" s="85">
        <f ca="1">NOW()</f>
        <v>45200.432514120374</v>
      </c>
      <c r="C42" s="44">
        <f t="shared" ref="C42" si="46">C41</f>
        <v>9</v>
      </c>
      <c r="D42" s="135">
        <v>12.7</v>
      </c>
      <c r="E42" s="86">
        <v>2500</v>
      </c>
      <c r="F42" s="44">
        <f t="shared" si="38"/>
        <v>8</v>
      </c>
      <c r="G42" s="137">
        <f t="shared" ca="1" si="26"/>
        <v>45208.592947191239</v>
      </c>
      <c r="H42" s="152">
        <f t="shared" ca="1" si="27"/>
        <v>8.2020997375328086</v>
      </c>
      <c r="I42" s="142">
        <f t="shared" ca="1" si="28"/>
        <v>196.85039370078741</v>
      </c>
      <c r="J42" s="142">
        <f>VLOOKUP($D42,'Consumption Inputs'!$A$40:$I$118,3)</f>
        <v>91.942148760330625</v>
      </c>
      <c r="K42" s="142">
        <f>VLOOKUP($D42,'Consumption Inputs'!$A$40:$I$118,2)</f>
        <v>93.388429752066131</v>
      </c>
      <c r="L42" s="142">
        <f>VLOOKUP($D42,'Consumption Inputs'!$A$40:$I$118,4)</f>
        <v>44.247306791569102</v>
      </c>
      <c r="M42" s="142">
        <f>VLOOKUP($D42,'Consumption Inputs'!$A$40:$I$118,5)</f>
        <v>43.562060889929747</v>
      </c>
      <c r="N42" s="142">
        <f>VLOOKUP($D42,'Consumption Inputs'!$A$40:$I$118,6)</f>
        <v>45.20000000000001</v>
      </c>
      <c r="O42" s="142">
        <f>VLOOKUP($D42,'Consumption Inputs'!$A$40:$I$118,7)</f>
        <v>44.5</v>
      </c>
      <c r="P42" s="142">
        <f>VLOOKUP($D42,'Consumption Inputs'!$A$40:$I$118,8)</f>
        <v>0</v>
      </c>
      <c r="Q42" s="142">
        <f>VLOOKUP($D42,'Consumption Inputs'!$A$40:$I$118,9)</f>
        <v>0.6</v>
      </c>
      <c r="R42" s="142">
        <f t="shared" ca="1" si="29"/>
        <v>754.11867421531031</v>
      </c>
      <c r="S42" s="142">
        <f t="shared" ca="1" si="30"/>
        <v>765.98121515802279</v>
      </c>
      <c r="T42" s="142">
        <f t="shared" ca="1" si="31"/>
        <v>362.92082342166259</v>
      </c>
      <c r="U42" s="142">
        <f t="shared" ca="1" si="32"/>
        <v>357.300368191681</v>
      </c>
      <c r="V42" s="142">
        <f t="shared" ca="1" si="33"/>
        <v>370.73490813648306</v>
      </c>
      <c r="W42" s="142">
        <f t="shared" ca="1" si="34"/>
        <v>364.99343832020998</v>
      </c>
      <c r="X42" s="142">
        <f t="shared" ca="1" si="35"/>
        <v>0</v>
      </c>
      <c r="Y42" s="142">
        <f t="shared" ca="1" si="36"/>
        <v>4.9212598425196852</v>
      </c>
    </row>
  </sheetData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81C19"/>
  </sheetPr>
  <dimension ref="A1:Y30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9" sqref="D9"/>
    </sheetView>
  </sheetViews>
  <sheetFormatPr defaultColWidth="15.7109375" defaultRowHeight="20.100000000000001" customHeight="1" x14ac:dyDescent="0.2"/>
  <cols>
    <col min="1" max="1" width="30.7109375" style="1" customWidth="1"/>
    <col min="2" max="2" width="20.7109375" style="1" customWidth="1"/>
    <col min="3" max="6" width="15.7109375" style="1"/>
    <col min="7" max="7" width="20.7109375" style="1" customWidth="1"/>
    <col min="8" max="16384" width="15.7109375" style="1"/>
  </cols>
  <sheetData>
    <row r="1" spans="1:19" ht="60" customHeight="1" x14ac:dyDescent="0.2">
      <c r="B1" s="13"/>
      <c r="C1" s="13" t="s">
        <v>174</v>
      </c>
    </row>
    <row r="3" spans="1:19" ht="20.100000000000001" customHeight="1" thickBot="1" x14ac:dyDescent="0.35">
      <c r="A3" s="12" t="s">
        <v>2</v>
      </c>
      <c r="B3" s="3"/>
      <c r="C3" s="3"/>
      <c r="D3" s="3"/>
    </row>
    <row r="4" spans="1:19" s="171" customFormat="1" ht="39.950000000000003" customHeight="1" thickTop="1" thickBot="1" x14ac:dyDescent="0.25">
      <c r="A4" s="164" t="s">
        <v>146</v>
      </c>
      <c r="B4" s="165" t="s">
        <v>45</v>
      </c>
      <c r="C4" s="165" t="s">
        <v>159</v>
      </c>
      <c r="D4" s="166" t="s">
        <v>4</v>
      </c>
      <c r="E4" s="166" t="s">
        <v>156</v>
      </c>
      <c r="F4" s="167" t="s">
        <v>160</v>
      </c>
      <c r="G4" s="166" t="s">
        <v>46</v>
      </c>
      <c r="H4" s="168" t="s">
        <v>48</v>
      </c>
      <c r="I4" s="169" t="s">
        <v>50</v>
      </c>
      <c r="J4" s="169" t="s">
        <v>179</v>
      </c>
      <c r="K4" s="169" t="s">
        <v>148</v>
      </c>
      <c r="L4" s="169" t="s">
        <v>149</v>
      </c>
      <c r="M4" s="169" t="s">
        <v>165</v>
      </c>
      <c r="N4" s="168" t="s">
        <v>163</v>
      </c>
      <c r="O4" s="169" t="s">
        <v>180</v>
      </c>
      <c r="P4" s="169" t="s">
        <v>181</v>
      </c>
      <c r="Q4" s="169" t="s">
        <v>182</v>
      </c>
      <c r="R4" s="169" t="s">
        <v>166</v>
      </c>
      <c r="S4" s="170" t="s">
        <v>164</v>
      </c>
    </row>
    <row r="5" spans="1:19" ht="20.100000000000001" customHeight="1" thickTop="1" thickBot="1" x14ac:dyDescent="0.25">
      <c r="A5" s="160"/>
      <c r="B5" s="161"/>
      <c r="C5" s="160"/>
      <c r="D5" s="162"/>
      <c r="E5" s="163"/>
      <c r="F5" s="160"/>
      <c r="G5" s="143"/>
      <c r="H5" s="144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1:19" ht="20.100000000000001" customHeight="1" thickTop="1" x14ac:dyDescent="0.2">
      <c r="A6" s="121" t="s">
        <v>172</v>
      </c>
      <c r="B6" s="83">
        <v>44936.708333333336</v>
      </c>
      <c r="C6" s="41">
        <v>8</v>
      </c>
      <c r="D6" s="172">
        <v>12.3</v>
      </c>
      <c r="E6" s="84">
        <v>3760</v>
      </c>
      <c r="F6" s="41">
        <v>9</v>
      </c>
      <c r="G6" s="136">
        <f t="shared" ref="G6:G16" si="0">IF(OR(B6="",D6=""),"",(B6-C6/24)+(H6+F6/24))</f>
        <v>44949.487127371271</v>
      </c>
      <c r="H6" s="153">
        <f t="shared" ref="H6:H16" si="1">I6/24</f>
        <v>12.737127371273713</v>
      </c>
      <c r="I6" s="141">
        <f t="shared" ref="I6" si="2">IF(OR(B6="",D6="",D6=0),0,E6/D6)</f>
        <v>305.6910569105691</v>
      </c>
      <c r="J6" s="141">
        <f>VLOOKUP($D6,'Consumption Inputs'!$A$40:$I$118,3)</f>
        <v>87.809917355371923</v>
      </c>
      <c r="K6" s="141">
        <f>VLOOKUP($D6,'Consumption Inputs'!$A$40:$I$118,5)</f>
        <v>41.604215456674474</v>
      </c>
      <c r="L6" s="141">
        <f>VLOOKUP($D6,'Consumption Inputs'!$A$40:$I$118,7)</f>
        <v>42.5</v>
      </c>
      <c r="M6" s="141">
        <f>'Consumption Inputs'!$B$17</f>
        <v>2.5</v>
      </c>
      <c r="N6" s="141">
        <f>VLOOKUP($D6,'Consumption Inputs'!$A$40:$I$118,9)</f>
        <v>0.6</v>
      </c>
      <c r="O6" s="141">
        <f t="shared" ref="O6:O16" si="3">$H6*J6</f>
        <v>1118.4461018163904</v>
      </c>
      <c r="P6" s="141">
        <f t="shared" ref="P6:P16" si="4">$H6*K6</f>
        <v>529.91819145357738</v>
      </c>
      <c r="Q6" s="141">
        <f t="shared" ref="Q6:Q16" si="5">$H6*L6</f>
        <v>541.32791327913276</v>
      </c>
      <c r="R6" s="141">
        <f t="shared" ref="R6:R16" si="6">$H6*M6</f>
        <v>31.842818428184284</v>
      </c>
      <c r="S6" s="139">
        <f t="shared" ref="S6:S16" si="7">$H6*N6</f>
        <v>7.6422764227642279</v>
      </c>
    </row>
    <row r="7" spans="1:19" ht="20.100000000000001" customHeight="1" x14ac:dyDescent="0.2">
      <c r="A7" s="122" t="s">
        <v>6</v>
      </c>
      <c r="B7" s="85">
        <f>B6</f>
        <v>44936.708333333336</v>
      </c>
      <c r="C7" s="44">
        <f>C6</f>
        <v>8</v>
      </c>
      <c r="D7" s="135">
        <v>12</v>
      </c>
      <c r="E7" s="86">
        <f>E6</f>
        <v>3760</v>
      </c>
      <c r="F7" s="44">
        <f>F6</f>
        <v>9</v>
      </c>
      <c r="G7" s="137">
        <f t="shared" si="0"/>
        <v>44949.805555555555</v>
      </c>
      <c r="H7" s="152">
        <f t="shared" si="1"/>
        <v>13.055555555555555</v>
      </c>
      <c r="I7" s="142">
        <f t="shared" ref="I7:I12" si="8">IF(OR(B7="",D7="",D7=0),0,E7/D7)</f>
        <v>313.33333333333331</v>
      </c>
      <c r="J7" s="142">
        <f>VLOOKUP($D7,'Consumption Inputs'!$A$40:$I$118,3)</f>
        <v>84.710743801652896</v>
      </c>
      <c r="K7" s="142">
        <f>VLOOKUP($D7,'Consumption Inputs'!$A$40:$I$118,5)</f>
        <v>40.13583138173302</v>
      </c>
      <c r="L7" s="142">
        <f>VLOOKUP($D7,'Consumption Inputs'!$A$40:$I$118,7)</f>
        <v>41</v>
      </c>
      <c r="M7" s="142">
        <f>'Consumption Inputs'!$B$17</f>
        <v>2.5</v>
      </c>
      <c r="N7" s="142">
        <f>VLOOKUP($D7,'Consumption Inputs'!$A$40:$I$118,9)</f>
        <v>0.6</v>
      </c>
      <c r="O7" s="142">
        <f t="shared" si="3"/>
        <v>1105.9458218549128</v>
      </c>
      <c r="P7" s="142">
        <f t="shared" si="4"/>
        <v>523.99557637262558</v>
      </c>
      <c r="Q7" s="142">
        <f t="shared" si="5"/>
        <v>535.27777777777771</v>
      </c>
      <c r="R7" s="142">
        <f t="shared" si="6"/>
        <v>32.638888888888886</v>
      </c>
      <c r="S7" s="140">
        <f t="shared" si="7"/>
        <v>7.833333333333333</v>
      </c>
    </row>
    <row r="8" spans="1:19" ht="20.100000000000001" customHeight="1" x14ac:dyDescent="0.2">
      <c r="A8" s="122" t="s">
        <v>6</v>
      </c>
      <c r="B8" s="85">
        <f t="shared" ref="B8:B15" si="9">B7</f>
        <v>44936.708333333336</v>
      </c>
      <c r="C8" s="44">
        <f t="shared" ref="C8:C16" si="10">C7</f>
        <v>8</v>
      </c>
      <c r="D8" s="135">
        <v>13</v>
      </c>
      <c r="E8" s="86">
        <f t="shared" ref="E8:E15" si="11">E7</f>
        <v>3760</v>
      </c>
      <c r="F8" s="44">
        <f t="shared" ref="F8:F16" si="12">F7</f>
        <v>9</v>
      </c>
      <c r="G8" s="137">
        <f t="shared" si="0"/>
        <v>44948.801282051281</v>
      </c>
      <c r="H8" s="152">
        <f t="shared" si="1"/>
        <v>12.051282051282051</v>
      </c>
      <c r="I8" s="142">
        <f t="shared" si="8"/>
        <v>289.23076923076923</v>
      </c>
      <c r="J8" s="142">
        <f>VLOOKUP($D8,'Consumption Inputs'!$A$40:$I$118,3)</f>
        <v>95.041322314049594</v>
      </c>
      <c r="K8" s="142">
        <f>VLOOKUP($D8,'Consumption Inputs'!$A$40:$I$118,5)</f>
        <v>45.030444964871194</v>
      </c>
      <c r="L8" s="142">
        <f>VLOOKUP($D8,'Consumption Inputs'!$A$40:$I$118,7)</f>
        <v>46</v>
      </c>
      <c r="M8" s="142">
        <f>'Consumption Inputs'!$B$17</f>
        <v>2.5</v>
      </c>
      <c r="N8" s="142">
        <f>VLOOKUP($D8,'Consumption Inputs'!$A$40:$I$118,9)</f>
        <v>0.6</v>
      </c>
      <c r="O8" s="142">
        <f t="shared" si="3"/>
        <v>1145.3697817334182</v>
      </c>
      <c r="P8" s="142">
        <f t="shared" si="4"/>
        <v>542.67459316639645</v>
      </c>
      <c r="Q8" s="142">
        <f t="shared" si="5"/>
        <v>554.35897435897436</v>
      </c>
      <c r="R8" s="142">
        <f t="shared" si="6"/>
        <v>30.128205128205128</v>
      </c>
      <c r="S8" s="140">
        <f t="shared" si="7"/>
        <v>7.2307692307692299</v>
      </c>
    </row>
    <row r="9" spans="1:19" ht="20.100000000000001" customHeight="1" x14ac:dyDescent="0.2">
      <c r="A9" s="122" t="s">
        <v>6</v>
      </c>
      <c r="B9" s="85">
        <f t="shared" si="9"/>
        <v>44936.708333333336</v>
      </c>
      <c r="C9" s="44">
        <f t="shared" si="10"/>
        <v>8</v>
      </c>
      <c r="D9" s="135">
        <v>14</v>
      </c>
      <c r="E9" s="86">
        <f t="shared" si="11"/>
        <v>3760</v>
      </c>
      <c r="F9" s="44">
        <f t="shared" si="12"/>
        <v>9</v>
      </c>
      <c r="G9" s="137">
        <f t="shared" si="0"/>
        <v>44947.940476190473</v>
      </c>
      <c r="H9" s="152">
        <f t="shared" si="1"/>
        <v>11.19047619047619</v>
      </c>
      <c r="I9" s="142">
        <f t="shared" si="8"/>
        <v>268.57142857142856</v>
      </c>
      <c r="J9" s="142">
        <f>VLOOKUP($D9,'Consumption Inputs'!$A$40:$I$118,3)</f>
        <v>107.43801652892563</v>
      </c>
      <c r="K9" s="142">
        <f>VLOOKUP($D9,'Consumption Inputs'!$A$40:$I$118,5)</f>
        <v>50.903981264637004</v>
      </c>
      <c r="L9" s="142">
        <f>VLOOKUP($D9,'Consumption Inputs'!$A$40:$I$118,7)</f>
        <v>52.000000000000007</v>
      </c>
      <c r="M9" s="142">
        <f>'Consumption Inputs'!$B$17</f>
        <v>2.5</v>
      </c>
      <c r="N9" s="142">
        <f>VLOOKUP($D9,'Consumption Inputs'!$A$40:$I$118,9)</f>
        <v>0.6</v>
      </c>
      <c r="O9" s="142">
        <f t="shared" si="3"/>
        <v>1202.2825659189295</v>
      </c>
      <c r="P9" s="142">
        <f t="shared" si="4"/>
        <v>569.63979034236638</v>
      </c>
      <c r="Q9" s="142">
        <f t="shared" si="5"/>
        <v>581.90476190476193</v>
      </c>
      <c r="R9" s="142">
        <f t="shared" si="6"/>
        <v>27.976190476190474</v>
      </c>
      <c r="S9" s="140">
        <f t="shared" si="7"/>
        <v>6.7142857142857135</v>
      </c>
    </row>
    <row r="10" spans="1:19" ht="20.100000000000001" customHeight="1" x14ac:dyDescent="0.2">
      <c r="A10" s="122" t="s">
        <v>6</v>
      </c>
      <c r="B10" s="85">
        <f t="shared" si="9"/>
        <v>44936.708333333336</v>
      </c>
      <c r="C10" s="44">
        <f t="shared" si="10"/>
        <v>8</v>
      </c>
      <c r="D10" s="135">
        <v>15</v>
      </c>
      <c r="E10" s="86">
        <f t="shared" si="11"/>
        <v>3760</v>
      </c>
      <c r="F10" s="44">
        <f t="shared" si="12"/>
        <v>9</v>
      </c>
      <c r="G10" s="137">
        <f t="shared" si="0"/>
        <v>44947.194444444445</v>
      </c>
      <c r="H10" s="152">
        <f t="shared" si="1"/>
        <v>10.444444444444445</v>
      </c>
      <c r="I10" s="142">
        <f t="shared" si="8"/>
        <v>250.66666666666666</v>
      </c>
      <c r="J10" s="142">
        <f>VLOOKUP($D10,'Consumption Inputs'!$A$40:$I$118,3)</f>
        <v>121.900826446281</v>
      </c>
      <c r="K10" s="142">
        <f>VLOOKUP($D10,'Consumption Inputs'!$A$40:$I$118,5)</f>
        <v>57.756440281030443</v>
      </c>
      <c r="L10" s="142">
        <f>VLOOKUP($D10,'Consumption Inputs'!$A$40:$I$118,7)</f>
        <v>59</v>
      </c>
      <c r="M10" s="142">
        <f>'Consumption Inputs'!$B$17</f>
        <v>2.5</v>
      </c>
      <c r="N10" s="142">
        <f>VLOOKUP($D10,'Consumption Inputs'!$A$40:$I$118,9)</f>
        <v>0.7</v>
      </c>
      <c r="O10" s="142">
        <f t="shared" si="3"/>
        <v>1273.1864095500459</v>
      </c>
      <c r="P10" s="142">
        <f t="shared" si="4"/>
        <v>603.23393182409575</v>
      </c>
      <c r="Q10" s="142">
        <f t="shared" si="5"/>
        <v>616.22222222222229</v>
      </c>
      <c r="R10" s="142">
        <f t="shared" si="6"/>
        <v>26.111111111111111</v>
      </c>
      <c r="S10" s="140">
        <f t="shared" si="7"/>
        <v>7.3111111111111109</v>
      </c>
    </row>
    <row r="11" spans="1:19" ht="20.100000000000001" customHeight="1" x14ac:dyDescent="0.2">
      <c r="A11" s="122" t="s">
        <v>6</v>
      </c>
      <c r="B11" s="85">
        <f t="shared" si="9"/>
        <v>44936.708333333336</v>
      </c>
      <c r="C11" s="44">
        <f t="shared" si="10"/>
        <v>8</v>
      </c>
      <c r="D11" s="135">
        <v>16</v>
      </c>
      <c r="E11" s="86">
        <f t="shared" si="11"/>
        <v>3760</v>
      </c>
      <c r="F11" s="44">
        <f t="shared" si="12"/>
        <v>9</v>
      </c>
      <c r="G11" s="137">
        <f t="shared" si="0"/>
        <v>44946.541666666664</v>
      </c>
      <c r="H11" s="152">
        <f t="shared" si="1"/>
        <v>9.7916666666666661</v>
      </c>
      <c r="I11" s="142">
        <f t="shared" si="8"/>
        <v>235</v>
      </c>
      <c r="J11" s="142">
        <f>VLOOKUP($D11,'Consumption Inputs'!$A$40:$I$118,3)</f>
        <v>136.36363636363637</v>
      </c>
      <c r="K11" s="142">
        <f>VLOOKUP($D11,'Consumption Inputs'!$A$40:$I$118,5)</f>
        <v>64.608899297423889</v>
      </c>
      <c r="L11" s="142">
        <f>VLOOKUP($D11,'Consumption Inputs'!$A$40:$I$118,7)</f>
        <v>66</v>
      </c>
      <c r="M11" s="142">
        <f>'Consumption Inputs'!$B$17</f>
        <v>2.5</v>
      </c>
      <c r="N11" s="142">
        <f>VLOOKUP($D11,'Consumption Inputs'!$A$40:$I$118,9)</f>
        <v>0.7</v>
      </c>
      <c r="O11" s="142">
        <f t="shared" si="3"/>
        <v>1335.2272727272727</v>
      </c>
      <c r="P11" s="142">
        <f t="shared" si="4"/>
        <v>632.62880562060889</v>
      </c>
      <c r="Q11" s="142">
        <f t="shared" si="5"/>
        <v>646.25</v>
      </c>
      <c r="R11" s="142">
        <f t="shared" si="6"/>
        <v>24.479166666666664</v>
      </c>
      <c r="S11" s="140">
        <f t="shared" si="7"/>
        <v>6.8541666666666661</v>
      </c>
    </row>
    <row r="12" spans="1:19" ht="20.100000000000001" customHeight="1" x14ac:dyDescent="0.2">
      <c r="A12" s="122" t="s">
        <v>6</v>
      </c>
      <c r="B12" s="85">
        <f t="shared" si="9"/>
        <v>44936.708333333336</v>
      </c>
      <c r="C12" s="44">
        <f t="shared" si="10"/>
        <v>8</v>
      </c>
      <c r="D12" s="135">
        <v>17</v>
      </c>
      <c r="E12" s="86">
        <f t="shared" si="11"/>
        <v>3760</v>
      </c>
      <c r="F12" s="44">
        <f t="shared" si="12"/>
        <v>9</v>
      </c>
      <c r="G12" s="137">
        <f t="shared" si="0"/>
        <v>44945.965686274511</v>
      </c>
      <c r="H12" s="152">
        <f t="shared" si="1"/>
        <v>9.2156862745098049</v>
      </c>
      <c r="I12" s="142">
        <f t="shared" si="8"/>
        <v>221.1764705882353</v>
      </c>
      <c r="J12" s="142">
        <f>VLOOKUP($D12,'Consumption Inputs'!$A$40:$I$118,3)</f>
        <v>150.82644628099175</v>
      </c>
      <c r="K12" s="142">
        <f>VLOOKUP($D12,'Consumption Inputs'!$A$40:$I$118,5)</f>
        <v>71.461358313817328</v>
      </c>
      <c r="L12" s="142">
        <f>VLOOKUP($D12,'Consumption Inputs'!$A$40:$I$118,7)</f>
        <v>73</v>
      </c>
      <c r="M12" s="142">
        <f>'Consumption Inputs'!$B$17</f>
        <v>2.5</v>
      </c>
      <c r="N12" s="142">
        <f>VLOOKUP($D12,'Consumption Inputs'!$A$40:$I$118,9)</f>
        <v>0.7</v>
      </c>
      <c r="O12" s="142">
        <f t="shared" si="3"/>
        <v>1389.969210824826</v>
      </c>
      <c r="P12" s="142">
        <f t="shared" si="4"/>
        <v>658.56545897047351</v>
      </c>
      <c r="Q12" s="142">
        <f t="shared" si="5"/>
        <v>672.7450980392158</v>
      </c>
      <c r="R12" s="142">
        <f t="shared" si="6"/>
        <v>23.039215686274513</v>
      </c>
      <c r="S12" s="140">
        <f t="shared" si="7"/>
        <v>6.4509803921568629</v>
      </c>
    </row>
    <row r="13" spans="1:19" ht="20.100000000000001" customHeight="1" x14ac:dyDescent="0.2">
      <c r="A13" s="122" t="s">
        <v>6</v>
      </c>
      <c r="B13" s="85">
        <f t="shared" si="9"/>
        <v>44936.708333333336</v>
      </c>
      <c r="C13" s="44">
        <f t="shared" si="10"/>
        <v>8</v>
      </c>
      <c r="D13" s="135">
        <v>18</v>
      </c>
      <c r="E13" s="86">
        <f t="shared" si="11"/>
        <v>3760</v>
      </c>
      <c r="F13" s="44">
        <f t="shared" si="12"/>
        <v>9</v>
      </c>
      <c r="G13" s="137">
        <f t="shared" si="0"/>
        <v>44945.453703703701</v>
      </c>
      <c r="H13" s="152">
        <f t="shared" si="1"/>
        <v>8.7037037037037042</v>
      </c>
      <c r="I13" s="142">
        <f t="shared" ref="I13:I15" si="13">IF(OR(B13="",D13="",D13=0),0,E13/D13)</f>
        <v>208.88888888888889</v>
      </c>
      <c r="J13" s="142">
        <f>VLOOKUP($D13,'Consumption Inputs'!$A$40:$I$118,3)</f>
        <v>171.48760330578514</v>
      </c>
      <c r="K13" s="142">
        <f>VLOOKUP($D13,'Consumption Inputs'!$A$40:$I$118,5)</f>
        <v>81.250585480093662</v>
      </c>
      <c r="L13" s="142">
        <f>VLOOKUP($D13,'Consumption Inputs'!$A$40:$I$118,7)</f>
        <v>82.999999999999986</v>
      </c>
      <c r="M13" s="142">
        <f>'Consumption Inputs'!$B$17</f>
        <v>2.5</v>
      </c>
      <c r="N13" s="142">
        <f>VLOOKUP($D13,'Consumption Inputs'!$A$40:$I$118,9)</f>
        <v>0.7</v>
      </c>
      <c r="O13" s="142">
        <f t="shared" si="3"/>
        <v>1492.5772880318336</v>
      </c>
      <c r="P13" s="142">
        <f t="shared" si="4"/>
        <v>707.18102177118556</v>
      </c>
      <c r="Q13" s="142">
        <f t="shared" si="5"/>
        <v>722.40740740740728</v>
      </c>
      <c r="R13" s="142">
        <f t="shared" si="6"/>
        <v>21.75925925925926</v>
      </c>
      <c r="S13" s="140">
        <f t="shared" si="7"/>
        <v>6.0925925925925926</v>
      </c>
    </row>
    <row r="14" spans="1:19" ht="20.100000000000001" customHeight="1" x14ac:dyDescent="0.2">
      <c r="A14" s="122" t="s">
        <v>6</v>
      </c>
      <c r="B14" s="85">
        <f t="shared" si="9"/>
        <v>44936.708333333336</v>
      </c>
      <c r="C14" s="44">
        <f t="shared" si="10"/>
        <v>8</v>
      </c>
      <c r="D14" s="135">
        <v>19</v>
      </c>
      <c r="E14" s="86">
        <f t="shared" si="11"/>
        <v>3760</v>
      </c>
      <c r="F14" s="44">
        <f t="shared" si="12"/>
        <v>9</v>
      </c>
      <c r="G14" s="137">
        <f t="shared" si="0"/>
        <v>44944.995614035084</v>
      </c>
      <c r="H14" s="152">
        <f t="shared" si="1"/>
        <v>8.2456140350877192</v>
      </c>
      <c r="I14" s="142">
        <f t="shared" si="13"/>
        <v>197.89473684210526</v>
      </c>
      <c r="J14" s="142">
        <f>VLOOKUP($D14,'Consumption Inputs'!$A$40:$I$118,3)</f>
        <v>194.21487603305786</v>
      </c>
      <c r="K14" s="142">
        <f>VLOOKUP($D14,'Consumption Inputs'!$A$40:$I$118,5)</f>
        <v>92.01873536299766</v>
      </c>
      <c r="L14" s="142">
        <f>VLOOKUP($D14,'Consumption Inputs'!$A$40:$I$118,7)</f>
        <v>94.000000000000014</v>
      </c>
      <c r="M14" s="142">
        <f>'Consumption Inputs'!$B$17</f>
        <v>2.5</v>
      </c>
      <c r="N14" s="142">
        <f>VLOOKUP($D14,'Consumption Inputs'!$A$40:$I$118,9)</f>
        <v>0.8</v>
      </c>
      <c r="O14" s="142">
        <f t="shared" si="3"/>
        <v>1601.4209076410034</v>
      </c>
      <c r="P14" s="142">
        <f t="shared" si="4"/>
        <v>758.75097580015608</v>
      </c>
      <c r="Q14" s="142">
        <f t="shared" si="5"/>
        <v>775.0877192982457</v>
      </c>
      <c r="R14" s="142">
        <f t="shared" si="6"/>
        <v>20.614035087719298</v>
      </c>
      <c r="S14" s="140">
        <f t="shared" si="7"/>
        <v>6.5964912280701755</v>
      </c>
    </row>
    <row r="15" spans="1:19" ht="20.100000000000001" customHeight="1" x14ac:dyDescent="0.2">
      <c r="A15" s="122" t="s">
        <v>6</v>
      </c>
      <c r="B15" s="85">
        <f t="shared" si="9"/>
        <v>44936.708333333336</v>
      </c>
      <c r="C15" s="44">
        <f t="shared" si="10"/>
        <v>8</v>
      </c>
      <c r="D15" s="135">
        <v>19.5</v>
      </c>
      <c r="E15" s="86">
        <f t="shared" si="11"/>
        <v>3760</v>
      </c>
      <c r="F15" s="44">
        <f t="shared" si="12"/>
        <v>9</v>
      </c>
      <c r="G15" s="137">
        <f t="shared" si="0"/>
        <v>44944.784188034188</v>
      </c>
      <c r="H15" s="152">
        <f t="shared" si="1"/>
        <v>8.0341880341880341</v>
      </c>
      <c r="I15" s="142">
        <f t="shared" si="13"/>
        <v>192.82051282051282</v>
      </c>
      <c r="J15" s="142">
        <f>VLOOKUP($D15,'Consumption Inputs'!$A$40:$I$118,3)</f>
        <v>206.61157024793388</v>
      </c>
      <c r="K15" s="142">
        <f>VLOOKUP($D15,'Consumption Inputs'!$A$40:$I$118,5)</f>
        <v>97.892271662763463</v>
      </c>
      <c r="L15" s="142">
        <f>VLOOKUP($D15,'Consumption Inputs'!$A$40:$I$118,7)</f>
        <v>100</v>
      </c>
      <c r="M15" s="142">
        <f>'Consumption Inputs'!$B$17</f>
        <v>2.5</v>
      </c>
      <c r="N15" s="142">
        <f>VLOOKUP($D15,'Consumption Inputs'!$A$40:$I$118,9)</f>
        <v>0.8</v>
      </c>
      <c r="O15" s="142">
        <f t="shared" si="3"/>
        <v>1659.9562054107507</v>
      </c>
      <c r="P15" s="142">
        <f t="shared" si="4"/>
        <v>786.48491763245863</v>
      </c>
      <c r="Q15" s="142">
        <f t="shared" si="5"/>
        <v>803.41880341880346</v>
      </c>
      <c r="R15" s="142">
        <f t="shared" si="6"/>
        <v>20.085470085470085</v>
      </c>
      <c r="S15" s="140">
        <f t="shared" si="7"/>
        <v>6.4273504273504276</v>
      </c>
    </row>
    <row r="16" spans="1:19" ht="20.100000000000001" customHeight="1" thickBot="1" x14ac:dyDescent="0.25">
      <c r="A16" s="154" t="s">
        <v>173</v>
      </c>
      <c r="B16" s="173">
        <f ca="1">NOW()</f>
        <v>45200.432514120374</v>
      </c>
      <c r="C16" s="155">
        <f t="shared" si="10"/>
        <v>8</v>
      </c>
      <c r="D16" s="156">
        <v>12.7</v>
      </c>
      <c r="E16" s="87">
        <v>2500</v>
      </c>
      <c r="F16" s="155">
        <f t="shared" si="12"/>
        <v>9</v>
      </c>
      <c r="G16" s="138">
        <f t="shared" ca="1" si="0"/>
        <v>45208.676280524567</v>
      </c>
      <c r="H16" s="157">
        <f t="shared" ca="1" si="1"/>
        <v>8.2020997375328086</v>
      </c>
      <c r="I16" s="158">
        <f t="shared" ref="I16" ca="1" si="14">IF(OR(B16="",D16="",D16=0),0,E16/D16)</f>
        <v>196.85039370078741</v>
      </c>
      <c r="J16" s="158">
        <f>VLOOKUP($D16,'Consumption Inputs'!$A$40:$I$118,3)</f>
        <v>91.942148760330625</v>
      </c>
      <c r="K16" s="158">
        <f>VLOOKUP($D16,'Consumption Inputs'!$A$40:$I$118,5)</f>
        <v>43.562060889929747</v>
      </c>
      <c r="L16" s="158">
        <f>VLOOKUP($D16,'Consumption Inputs'!$A$40:$I$118,7)</f>
        <v>44.5</v>
      </c>
      <c r="M16" s="158">
        <f>'Consumption Inputs'!$B$17</f>
        <v>2.5</v>
      </c>
      <c r="N16" s="158">
        <f>VLOOKUP($D16,'Consumption Inputs'!$A$40:$I$118,9)</f>
        <v>0.6</v>
      </c>
      <c r="O16" s="158">
        <f t="shared" ca="1" si="3"/>
        <v>754.11867421531031</v>
      </c>
      <c r="P16" s="158">
        <f t="shared" ca="1" si="4"/>
        <v>357.300368191681</v>
      </c>
      <c r="Q16" s="158">
        <f t="shared" ca="1" si="5"/>
        <v>364.99343832020998</v>
      </c>
      <c r="R16" s="158">
        <f t="shared" ca="1" si="6"/>
        <v>20.50524934383202</v>
      </c>
      <c r="S16" s="159">
        <f t="shared" ca="1" si="7"/>
        <v>4.9212598425196852</v>
      </c>
    </row>
    <row r="17" spans="1:25" ht="20.100000000000001" customHeight="1" thickTop="1" x14ac:dyDescent="0.2">
      <c r="A17" s="146"/>
      <c r="B17" s="147"/>
      <c r="C17" s="146"/>
      <c r="D17" s="148"/>
      <c r="E17" s="149"/>
      <c r="F17" s="146"/>
      <c r="G17" s="150"/>
      <c r="H17" s="9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</row>
    <row r="18" spans="1:25" ht="20.100000000000001" customHeight="1" thickBot="1" x14ac:dyDescent="0.25">
      <c r="A18" s="146"/>
      <c r="B18" s="147"/>
      <c r="C18" s="146"/>
      <c r="D18" s="148"/>
      <c r="E18" s="149"/>
      <c r="F18" s="146"/>
      <c r="G18" s="150"/>
      <c r="H18" s="9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</row>
    <row r="19" spans="1:25" ht="20.100000000000001" customHeight="1" thickTop="1" x14ac:dyDescent="0.2">
      <c r="A19" s="121" t="s">
        <v>172</v>
      </c>
      <c r="B19" s="83">
        <v>44936.708333333336</v>
      </c>
      <c r="C19" s="41">
        <v>9</v>
      </c>
      <c r="D19" s="172">
        <v>12.3</v>
      </c>
      <c r="E19" s="84">
        <v>3760</v>
      </c>
      <c r="F19" s="41">
        <v>8</v>
      </c>
      <c r="G19" s="136">
        <f t="shared" ref="G19:G29" si="15">IF(OR(B19="",D19=""),"",(B19-C19/24)+(H19+F19/24))</f>
        <v>44949.403794037942</v>
      </c>
      <c r="H19" s="153">
        <f t="shared" ref="H19:H29" si="16">I19/24</f>
        <v>12.737127371273713</v>
      </c>
      <c r="I19" s="141">
        <f t="shared" ref="I19" si="17">IF(OR(B19="",D19="",D19=0),0,E19/D19)</f>
        <v>305.6910569105691</v>
      </c>
      <c r="J19" s="141">
        <f>VLOOKUP($D19,'Consumption Inputs'!$A$40:$I$118,2)</f>
        <v>88.429752066115711</v>
      </c>
      <c r="K19" s="141">
        <f>VLOOKUP($D19,'Consumption Inputs'!$A$40:$I$118,4)</f>
        <v>41.897892271662769</v>
      </c>
      <c r="L19" s="141">
        <f>VLOOKUP($D19,'Consumption Inputs'!$A$40:$I$118,6)</f>
        <v>42.800000000000004</v>
      </c>
      <c r="M19" s="141">
        <f>'Consumption Inputs'!$B$17</f>
        <v>2.5</v>
      </c>
      <c r="N19" s="141">
        <f>VLOOKUP($D19,'Consumption Inputs'!$A$40:$I$118,9)</f>
        <v>0.6</v>
      </c>
      <c r="O19" s="141">
        <f t="shared" ref="O19:O29" si="18">$H19*J19</f>
        <v>1126.3410154762705</v>
      </c>
      <c r="P19" s="141">
        <f t="shared" ref="P19:P29" si="19">$H19*K19</f>
        <v>533.65879045207328</v>
      </c>
      <c r="Q19" s="141">
        <f t="shared" ref="Q19:Q29" si="20">$H19*L19</f>
        <v>545.14905149051503</v>
      </c>
      <c r="R19" s="141">
        <f t="shared" ref="R19:R29" si="21">$H19*M19</f>
        <v>31.842818428184284</v>
      </c>
      <c r="S19" s="139">
        <f t="shared" ref="S19:S29" si="22">$H19*N19</f>
        <v>7.6422764227642279</v>
      </c>
    </row>
    <row r="20" spans="1:25" ht="20.100000000000001" customHeight="1" x14ac:dyDescent="0.2">
      <c r="A20" s="122" t="s">
        <v>175</v>
      </c>
      <c r="B20" s="85">
        <f>B19</f>
        <v>44936.708333333336</v>
      </c>
      <c r="C20" s="44">
        <f>C19</f>
        <v>9</v>
      </c>
      <c r="D20" s="135">
        <v>12</v>
      </c>
      <c r="E20" s="86">
        <v>3760</v>
      </c>
      <c r="F20" s="44">
        <f>F19</f>
        <v>8</v>
      </c>
      <c r="G20" s="137">
        <f t="shared" si="15"/>
        <v>44949.722222222226</v>
      </c>
      <c r="H20" s="152">
        <f t="shared" si="16"/>
        <v>13.055555555555555</v>
      </c>
      <c r="I20" s="142">
        <f t="shared" ref="I20:I29" si="23">IF(OR(B20="",D20="",D20=0),0,E20/D20)</f>
        <v>313.33333333333331</v>
      </c>
      <c r="J20" s="142">
        <f>VLOOKUP($D20,'Consumption Inputs'!$A$40:$I$118,2)</f>
        <v>84.710743801652896</v>
      </c>
      <c r="K20" s="142">
        <f>VLOOKUP($D20,'Consumption Inputs'!$A$40:$I$118,4)</f>
        <v>40.13583138173302</v>
      </c>
      <c r="L20" s="142">
        <f>VLOOKUP($D20,'Consumption Inputs'!$A$40:$I$118,6)</f>
        <v>41</v>
      </c>
      <c r="M20" s="142">
        <f>'Consumption Inputs'!$B$17</f>
        <v>2.5</v>
      </c>
      <c r="N20" s="142">
        <f>VLOOKUP($D20,'Consumption Inputs'!$A$40:$I$118,9)</f>
        <v>0.6</v>
      </c>
      <c r="O20" s="142">
        <f t="shared" si="18"/>
        <v>1105.9458218549128</v>
      </c>
      <c r="P20" s="142">
        <f t="shared" si="19"/>
        <v>523.99557637262558</v>
      </c>
      <c r="Q20" s="142">
        <f t="shared" si="20"/>
        <v>535.27777777777771</v>
      </c>
      <c r="R20" s="142">
        <f t="shared" si="21"/>
        <v>32.638888888888886</v>
      </c>
      <c r="S20" s="140">
        <f t="shared" si="22"/>
        <v>7.833333333333333</v>
      </c>
    </row>
    <row r="21" spans="1:25" ht="20.100000000000001" customHeight="1" x14ac:dyDescent="0.2">
      <c r="A21" s="122" t="s">
        <v>175</v>
      </c>
      <c r="B21" s="85">
        <f t="shared" ref="B21:B28" si="24">B20</f>
        <v>44936.708333333336</v>
      </c>
      <c r="C21" s="44">
        <f t="shared" ref="C21:C29" si="25">C20</f>
        <v>9</v>
      </c>
      <c r="D21" s="135">
        <v>13</v>
      </c>
      <c r="E21" s="86">
        <v>3760</v>
      </c>
      <c r="F21" s="44">
        <f t="shared" ref="F21:F29" si="26">F20</f>
        <v>8</v>
      </c>
      <c r="G21" s="137">
        <f t="shared" si="15"/>
        <v>44948.717948717953</v>
      </c>
      <c r="H21" s="152">
        <f t="shared" si="16"/>
        <v>12.051282051282051</v>
      </c>
      <c r="I21" s="142">
        <f t="shared" si="23"/>
        <v>289.23076923076923</v>
      </c>
      <c r="J21" s="142">
        <f>VLOOKUP($D21,'Consumption Inputs'!$A$40:$I$118,2)</f>
        <v>97.107438016528931</v>
      </c>
      <c r="K21" s="142">
        <f>VLOOKUP($D21,'Consumption Inputs'!$A$40:$I$118,4)</f>
        <v>46.00936768149883</v>
      </c>
      <c r="L21" s="142">
        <f>VLOOKUP($D21,'Consumption Inputs'!$A$40:$I$118,6)</f>
        <v>47.000000000000007</v>
      </c>
      <c r="M21" s="142">
        <f>'Consumption Inputs'!$B$17</f>
        <v>2.5</v>
      </c>
      <c r="N21" s="142">
        <f>VLOOKUP($D21,'Consumption Inputs'!$A$40:$I$118,9)</f>
        <v>0.6</v>
      </c>
      <c r="O21" s="142">
        <f t="shared" si="18"/>
        <v>1170.2691248145793</v>
      </c>
      <c r="P21" s="142">
        <f t="shared" si="19"/>
        <v>554.47186693088338</v>
      </c>
      <c r="Q21" s="142">
        <f t="shared" si="20"/>
        <v>566.41025641025647</v>
      </c>
      <c r="R21" s="142">
        <f t="shared" si="21"/>
        <v>30.128205128205128</v>
      </c>
      <c r="S21" s="140">
        <f t="shared" si="22"/>
        <v>7.2307692307692299</v>
      </c>
    </row>
    <row r="22" spans="1:25" ht="20.100000000000001" customHeight="1" x14ac:dyDescent="0.2">
      <c r="A22" s="122" t="s">
        <v>175</v>
      </c>
      <c r="B22" s="85">
        <f t="shared" si="24"/>
        <v>44936.708333333336</v>
      </c>
      <c r="C22" s="44">
        <f t="shared" si="25"/>
        <v>9</v>
      </c>
      <c r="D22" s="135">
        <v>14</v>
      </c>
      <c r="E22" s="86">
        <v>3760</v>
      </c>
      <c r="F22" s="44">
        <f t="shared" si="26"/>
        <v>8</v>
      </c>
      <c r="G22" s="137">
        <f t="shared" si="15"/>
        <v>44947.857142857145</v>
      </c>
      <c r="H22" s="152">
        <f t="shared" si="16"/>
        <v>11.19047619047619</v>
      </c>
      <c r="I22" s="142">
        <f t="shared" si="23"/>
        <v>268.57142857142856</v>
      </c>
      <c r="J22" s="142">
        <f>VLOOKUP($D22,'Consumption Inputs'!$A$40:$I$118,2)</f>
        <v>113.63636363636364</v>
      </c>
      <c r="K22" s="142">
        <f>VLOOKUP($D22,'Consumption Inputs'!$A$40:$I$118,4)</f>
        <v>53.840749414519905</v>
      </c>
      <c r="L22" s="142">
        <f>VLOOKUP($D22,'Consumption Inputs'!$A$40:$I$118,6)</f>
        <v>55</v>
      </c>
      <c r="M22" s="142">
        <f>'Consumption Inputs'!$B$17</f>
        <v>2.5</v>
      </c>
      <c r="N22" s="142">
        <f>VLOOKUP($D22,'Consumption Inputs'!$A$40:$I$118,9)</f>
        <v>0.6</v>
      </c>
      <c r="O22" s="142">
        <f t="shared" si="18"/>
        <v>1271.6450216450216</v>
      </c>
      <c r="P22" s="142">
        <f t="shared" si="19"/>
        <v>602.50362440057984</v>
      </c>
      <c r="Q22" s="142">
        <f t="shared" si="20"/>
        <v>615.47619047619048</v>
      </c>
      <c r="R22" s="142">
        <f t="shared" si="21"/>
        <v>27.976190476190474</v>
      </c>
      <c r="S22" s="140">
        <f t="shared" si="22"/>
        <v>6.7142857142857135</v>
      </c>
    </row>
    <row r="23" spans="1:25" ht="20.100000000000001" customHeight="1" x14ac:dyDescent="0.2">
      <c r="A23" s="122" t="s">
        <v>175</v>
      </c>
      <c r="B23" s="85">
        <f t="shared" si="24"/>
        <v>44936.708333333336</v>
      </c>
      <c r="C23" s="44">
        <f t="shared" si="25"/>
        <v>9</v>
      </c>
      <c r="D23" s="135">
        <v>15</v>
      </c>
      <c r="E23" s="86">
        <v>3760</v>
      </c>
      <c r="F23" s="44">
        <f t="shared" si="26"/>
        <v>8</v>
      </c>
      <c r="G23" s="137">
        <f t="shared" si="15"/>
        <v>44947.111111111117</v>
      </c>
      <c r="H23" s="152">
        <f t="shared" si="16"/>
        <v>10.444444444444445</v>
      </c>
      <c r="I23" s="142">
        <f t="shared" si="23"/>
        <v>250.66666666666666</v>
      </c>
      <c r="J23" s="142">
        <f>VLOOKUP($D23,'Consumption Inputs'!$A$40:$I$118,2)</f>
        <v>130.16528925619835</v>
      </c>
      <c r="K23" s="142">
        <f>VLOOKUP($D23,'Consumption Inputs'!$A$40:$I$118,4)</f>
        <v>61.672131147540981</v>
      </c>
      <c r="L23" s="142">
        <f>VLOOKUP($D23,'Consumption Inputs'!$A$40:$I$118,6)</f>
        <v>63</v>
      </c>
      <c r="M23" s="142">
        <f>'Consumption Inputs'!$B$17</f>
        <v>2.5</v>
      </c>
      <c r="N23" s="142">
        <f>VLOOKUP($D23,'Consumption Inputs'!$A$40:$I$118,9)</f>
        <v>0.7</v>
      </c>
      <c r="O23" s="142">
        <f t="shared" si="18"/>
        <v>1359.504132231405</v>
      </c>
      <c r="P23" s="142">
        <f t="shared" si="19"/>
        <v>644.13114754098353</v>
      </c>
      <c r="Q23" s="142">
        <f t="shared" si="20"/>
        <v>658</v>
      </c>
      <c r="R23" s="142">
        <f t="shared" si="21"/>
        <v>26.111111111111111</v>
      </c>
      <c r="S23" s="140">
        <f t="shared" si="22"/>
        <v>7.3111111111111109</v>
      </c>
    </row>
    <row r="24" spans="1:25" ht="20.100000000000001" customHeight="1" x14ac:dyDescent="0.2">
      <c r="A24" s="122" t="s">
        <v>175</v>
      </c>
      <c r="B24" s="85">
        <f t="shared" si="24"/>
        <v>44936.708333333336</v>
      </c>
      <c r="C24" s="44">
        <f t="shared" si="25"/>
        <v>9</v>
      </c>
      <c r="D24" s="135">
        <v>16</v>
      </c>
      <c r="E24" s="86">
        <v>3760</v>
      </c>
      <c r="F24" s="44">
        <f t="shared" si="26"/>
        <v>8</v>
      </c>
      <c r="G24" s="137">
        <f t="shared" si="15"/>
        <v>44946.458333333336</v>
      </c>
      <c r="H24" s="152">
        <f t="shared" si="16"/>
        <v>9.7916666666666661</v>
      </c>
      <c r="I24" s="142">
        <f t="shared" si="23"/>
        <v>235</v>
      </c>
      <c r="J24" s="142">
        <f>VLOOKUP($D24,'Consumption Inputs'!$A$40:$I$118,2)</f>
        <v>146.69421487603307</v>
      </c>
      <c r="K24" s="142">
        <f>VLOOKUP($D24,'Consumption Inputs'!$A$40:$I$118,4)</f>
        <v>69.503512880562056</v>
      </c>
      <c r="L24" s="142">
        <f>VLOOKUP($D24,'Consumption Inputs'!$A$40:$I$118,6)</f>
        <v>71</v>
      </c>
      <c r="M24" s="142">
        <f>'Consumption Inputs'!$B$17</f>
        <v>2.5</v>
      </c>
      <c r="N24" s="142">
        <f>VLOOKUP($D24,'Consumption Inputs'!$A$40:$I$118,9)</f>
        <v>0.7</v>
      </c>
      <c r="O24" s="142">
        <f t="shared" si="18"/>
        <v>1436.3808539944905</v>
      </c>
      <c r="P24" s="142">
        <f t="shared" si="19"/>
        <v>680.55523028883681</v>
      </c>
      <c r="Q24" s="142">
        <f t="shared" si="20"/>
        <v>695.20833333333326</v>
      </c>
      <c r="R24" s="142">
        <f t="shared" si="21"/>
        <v>24.479166666666664</v>
      </c>
      <c r="S24" s="140">
        <f t="shared" si="22"/>
        <v>6.8541666666666661</v>
      </c>
    </row>
    <row r="25" spans="1:25" ht="20.100000000000001" customHeight="1" x14ac:dyDescent="0.2">
      <c r="A25" s="122" t="s">
        <v>175</v>
      </c>
      <c r="B25" s="85">
        <f t="shared" si="24"/>
        <v>44936.708333333336</v>
      </c>
      <c r="C25" s="44">
        <f t="shared" si="25"/>
        <v>9</v>
      </c>
      <c r="D25" s="135">
        <v>17</v>
      </c>
      <c r="E25" s="86">
        <v>3760</v>
      </c>
      <c r="F25" s="44">
        <f t="shared" si="26"/>
        <v>8</v>
      </c>
      <c r="G25" s="137">
        <f t="shared" si="15"/>
        <v>44945.882352941182</v>
      </c>
      <c r="H25" s="152">
        <f t="shared" si="16"/>
        <v>9.2156862745098049</v>
      </c>
      <c r="I25" s="142">
        <f t="shared" si="23"/>
        <v>221.1764705882353</v>
      </c>
      <c r="J25" s="142">
        <f>VLOOKUP($D25,'Consumption Inputs'!$A$40:$I$118,2)</f>
        <v>159.09090909090909</v>
      </c>
      <c r="K25" s="142">
        <f>VLOOKUP($D25,'Consumption Inputs'!$A$40:$I$118,4)</f>
        <v>75.377049180327873</v>
      </c>
      <c r="L25" s="142">
        <f>VLOOKUP($D25,'Consumption Inputs'!$A$40:$I$118,6)</f>
        <v>77</v>
      </c>
      <c r="M25" s="142">
        <f>'Consumption Inputs'!$B$17</f>
        <v>2.5</v>
      </c>
      <c r="N25" s="142">
        <f>VLOOKUP($D25,'Consumption Inputs'!$A$40:$I$118,9)</f>
        <v>0.7</v>
      </c>
      <c r="O25" s="142">
        <f t="shared" si="18"/>
        <v>1466.131907308378</v>
      </c>
      <c r="P25" s="142">
        <f t="shared" si="19"/>
        <v>694.65123754419812</v>
      </c>
      <c r="Q25" s="142">
        <f t="shared" si="20"/>
        <v>709.60784313725503</v>
      </c>
      <c r="R25" s="142">
        <f t="shared" si="21"/>
        <v>23.039215686274513</v>
      </c>
      <c r="S25" s="140">
        <f t="shared" si="22"/>
        <v>6.4509803921568629</v>
      </c>
    </row>
    <row r="26" spans="1:25" ht="20.100000000000001" customHeight="1" x14ac:dyDescent="0.2">
      <c r="A26" s="122" t="s">
        <v>175</v>
      </c>
      <c r="B26" s="85">
        <f t="shared" si="24"/>
        <v>44936.708333333336</v>
      </c>
      <c r="C26" s="44">
        <f t="shared" si="25"/>
        <v>9</v>
      </c>
      <c r="D26" s="135">
        <v>18</v>
      </c>
      <c r="E26" s="86">
        <v>3760</v>
      </c>
      <c r="F26" s="44">
        <f t="shared" si="26"/>
        <v>8</v>
      </c>
      <c r="G26" s="137">
        <f t="shared" si="15"/>
        <v>44945.370370370372</v>
      </c>
      <c r="H26" s="152">
        <f t="shared" si="16"/>
        <v>8.7037037037037042</v>
      </c>
      <c r="I26" s="142">
        <f t="shared" si="23"/>
        <v>208.88888888888889</v>
      </c>
      <c r="J26" s="142">
        <f>VLOOKUP($D26,'Consumption Inputs'!$A$40:$I$118,2)</f>
        <v>183.88429752066116</v>
      </c>
      <c r="K26" s="142">
        <f>VLOOKUP($D26,'Consumption Inputs'!$A$40:$I$118,4)</f>
        <v>87.124121779859479</v>
      </c>
      <c r="L26" s="142">
        <f>VLOOKUP($D26,'Consumption Inputs'!$A$40:$I$118,6)</f>
        <v>89</v>
      </c>
      <c r="M26" s="142">
        <f>'Consumption Inputs'!$B$17</f>
        <v>2.5</v>
      </c>
      <c r="N26" s="142">
        <f>VLOOKUP($D26,'Consumption Inputs'!$A$40:$I$118,9)</f>
        <v>0.7</v>
      </c>
      <c r="O26" s="142">
        <f t="shared" si="18"/>
        <v>1600.4744413835324</v>
      </c>
      <c r="P26" s="142">
        <f t="shared" si="19"/>
        <v>758.30254141729552</v>
      </c>
      <c r="Q26" s="142">
        <f t="shared" si="20"/>
        <v>774.62962962962968</v>
      </c>
      <c r="R26" s="142">
        <f t="shared" si="21"/>
        <v>21.75925925925926</v>
      </c>
      <c r="S26" s="140">
        <f t="shared" si="22"/>
        <v>6.0925925925925926</v>
      </c>
    </row>
    <row r="27" spans="1:25" ht="20.100000000000001" customHeight="1" x14ac:dyDescent="0.2">
      <c r="A27" s="122" t="s">
        <v>175</v>
      </c>
      <c r="B27" s="85">
        <f t="shared" si="24"/>
        <v>44936.708333333336</v>
      </c>
      <c r="C27" s="44">
        <f t="shared" si="25"/>
        <v>9</v>
      </c>
      <c r="D27" s="135">
        <v>19</v>
      </c>
      <c r="E27" s="86">
        <v>3760</v>
      </c>
      <c r="F27" s="44">
        <f t="shared" si="26"/>
        <v>8</v>
      </c>
      <c r="G27" s="137">
        <f t="shared" si="15"/>
        <v>44944.912280701756</v>
      </c>
      <c r="H27" s="152">
        <f t="shared" si="16"/>
        <v>8.2456140350877192</v>
      </c>
      <c r="I27" s="142">
        <f t="shared" si="23"/>
        <v>197.89473684210526</v>
      </c>
      <c r="J27" s="142">
        <f>VLOOKUP($D27,'Consumption Inputs'!$A$40:$I$118,2)</f>
        <v>208.67768595041323</v>
      </c>
      <c r="K27" s="142">
        <f>VLOOKUP($D27,'Consumption Inputs'!$A$40:$I$118,4)</f>
        <v>98.871194379391099</v>
      </c>
      <c r="L27" s="142">
        <f>VLOOKUP($D27,'Consumption Inputs'!$A$40:$I$118,6)</f>
        <v>101</v>
      </c>
      <c r="M27" s="142">
        <f>'Consumption Inputs'!$B$17</f>
        <v>2.5</v>
      </c>
      <c r="N27" s="142">
        <f>VLOOKUP($D27,'Consumption Inputs'!$A$40:$I$118,9)</f>
        <v>0.8</v>
      </c>
      <c r="O27" s="142">
        <f t="shared" si="18"/>
        <v>1720.6756560823546</v>
      </c>
      <c r="P27" s="142">
        <f t="shared" si="19"/>
        <v>815.25370804059321</v>
      </c>
      <c r="Q27" s="142">
        <f t="shared" si="20"/>
        <v>832.80701754385962</v>
      </c>
      <c r="R27" s="142">
        <f t="shared" si="21"/>
        <v>20.614035087719298</v>
      </c>
      <c r="S27" s="140">
        <f t="shared" si="22"/>
        <v>6.5964912280701755</v>
      </c>
    </row>
    <row r="28" spans="1:25" ht="20.100000000000001" customHeight="1" x14ac:dyDescent="0.2">
      <c r="A28" s="122" t="s">
        <v>175</v>
      </c>
      <c r="B28" s="85">
        <f t="shared" si="24"/>
        <v>44936.708333333336</v>
      </c>
      <c r="C28" s="44">
        <f t="shared" si="25"/>
        <v>9</v>
      </c>
      <c r="D28" s="135">
        <v>19.5</v>
      </c>
      <c r="E28" s="86">
        <v>3760</v>
      </c>
      <c r="F28" s="44">
        <f t="shared" si="26"/>
        <v>8</v>
      </c>
      <c r="G28" s="137">
        <f t="shared" si="15"/>
        <v>44944.700854700859</v>
      </c>
      <c r="H28" s="152">
        <f t="shared" si="16"/>
        <v>8.0341880341880341</v>
      </c>
      <c r="I28" s="142">
        <f t="shared" si="23"/>
        <v>192.82051282051282</v>
      </c>
      <c r="J28" s="142">
        <f>VLOOKUP($D28,'Consumption Inputs'!$A$40:$I$118,2)</f>
        <v>219.00826446280993</v>
      </c>
      <c r="K28" s="142">
        <f>VLOOKUP($D28,'Consumption Inputs'!$A$40:$I$118,4)</f>
        <v>103.76580796252928</v>
      </c>
      <c r="L28" s="142">
        <f>VLOOKUP($D28,'Consumption Inputs'!$A$40:$I$118,6)</f>
        <v>106</v>
      </c>
      <c r="M28" s="142">
        <f>'Consumption Inputs'!$B$17</f>
        <v>2.5</v>
      </c>
      <c r="N28" s="142">
        <f>VLOOKUP($D28,'Consumption Inputs'!$A$40:$I$118,9)</f>
        <v>0.8</v>
      </c>
      <c r="O28" s="142">
        <f t="shared" si="18"/>
        <v>1759.5535777353959</v>
      </c>
      <c r="P28" s="142">
        <f t="shared" si="19"/>
        <v>833.67401269040613</v>
      </c>
      <c r="Q28" s="142">
        <f t="shared" si="20"/>
        <v>851.62393162393164</v>
      </c>
      <c r="R28" s="142">
        <f t="shared" si="21"/>
        <v>20.085470085470085</v>
      </c>
      <c r="S28" s="140">
        <f t="shared" si="22"/>
        <v>6.4273504273504276</v>
      </c>
    </row>
    <row r="29" spans="1:25" ht="20.100000000000001" customHeight="1" thickBot="1" x14ac:dyDescent="0.25">
      <c r="A29" s="154" t="s">
        <v>173</v>
      </c>
      <c r="B29" s="173">
        <f ca="1">NOW()</f>
        <v>45200.432514120374</v>
      </c>
      <c r="C29" s="155">
        <f t="shared" si="25"/>
        <v>9</v>
      </c>
      <c r="D29" s="156">
        <v>12.7</v>
      </c>
      <c r="E29" s="87">
        <v>2500</v>
      </c>
      <c r="F29" s="155">
        <f t="shared" si="26"/>
        <v>8</v>
      </c>
      <c r="G29" s="138">
        <f t="shared" ca="1" si="15"/>
        <v>45208.592947191239</v>
      </c>
      <c r="H29" s="157">
        <f t="shared" ca="1" si="16"/>
        <v>8.2020997375328086</v>
      </c>
      <c r="I29" s="158">
        <f t="shared" ca="1" si="23"/>
        <v>196.85039370078741</v>
      </c>
      <c r="J29" s="158">
        <f>VLOOKUP($D29,'Consumption Inputs'!$A$40:$I$118,2)</f>
        <v>93.388429752066131</v>
      </c>
      <c r="K29" s="158">
        <f>VLOOKUP($D29,'Consumption Inputs'!$A$40:$I$118,4)</f>
        <v>44.247306791569102</v>
      </c>
      <c r="L29" s="158">
        <f>VLOOKUP($D29,'Consumption Inputs'!$A$40:$I$118,6)</f>
        <v>45.20000000000001</v>
      </c>
      <c r="M29" s="158">
        <f>'Consumption Inputs'!$B$17</f>
        <v>2.5</v>
      </c>
      <c r="N29" s="158">
        <f>VLOOKUP($D29,'Consumption Inputs'!$A$40:$I$118,9)</f>
        <v>0.6</v>
      </c>
      <c r="O29" s="158">
        <f t="shared" ca="1" si="18"/>
        <v>765.98121515802279</v>
      </c>
      <c r="P29" s="158">
        <f t="shared" ca="1" si="19"/>
        <v>362.92082342166259</v>
      </c>
      <c r="Q29" s="158">
        <f t="shared" ca="1" si="20"/>
        <v>370.73490813648306</v>
      </c>
      <c r="R29" s="158">
        <f t="shared" ca="1" si="21"/>
        <v>20.50524934383202</v>
      </c>
      <c r="S29" s="159">
        <f t="shared" ca="1" si="22"/>
        <v>4.9212598425196852</v>
      </c>
    </row>
    <row r="30" spans="1:25" ht="20.100000000000001" customHeight="1" thickTop="1" x14ac:dyDescent="0.2"/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O52"/>
  <sheetViews>
    <sheetView showGridLines="0" workbookViewId="0">
      <pane ySplit="1" topLeftCell="A26" activePane="bottomLeft" state="frozen"/>
      <selection pane="bottomLeft" activeCell="B30" sqref="B30"/>
    </sheetView>
  </sheetViews>
  <sheetFormatPr defaultColWidth="8.85546875" defaultRowHeight="20.100000000000001" customHeight="1" x14ac:dyDescent="0.2"/>
  <cols>
    <col min="1" max="1" width="30.7109375" style="1" customWidth="1"/>
    <col min="2" max="11" width="20.7109375" style="1" customWidth="1"/>
    <col min="12" max="14" width="20.7109375" style="1" hidden="1" customWidth="1"/>
    <col min="15" max="23" width="20.7109375" style="1" customWidth="1"/>
    <col min="24" max="214" width="8.85546875" style="1"/>
    <col min="215" max="215" width="11.85546875" style="1" customWidth="1"/>
    <col min="216" max="216" width="15" style="1" customWidth="1"/>
    <col min="217" max="217" width="12.85546875" style="1" customWidth="1"/>
    <col min="218" max="218" width="13.5703125" style="1" customWidth="1"/>
    <col min="219" max="219" width="14.140625" style="1" customWidth="1"/>
    <col min="220" max="220" width="12.5703125" style="1" customWidth="1"/>
    <col min="221" max="221" width="13.28515625" style="1" customWidth="1"/>
    <col min="222" max="470" width="8.85546875" style="1"/>
    <col min="471" max="471" width="11.85546875" style="1" customWidth="1"/>
    <col min="472" max="472" width="15" style="1" customWidth="1"/>
    <col min="473" max="473" width="12.85546875" style="1" customWidth="1"/>
    <col min="474" max="474" width="13.5703125" style="1" customWidth="1"/>
    <col min="475" max="475" width="14.140625" style="1" customWidth="1"/>
    <col min="476" max="476" width="12.5703125" style="1" customWidth="1"/>
    <col min="477" max="477" width="13.28515625" style="1" customWidth="1"/>
    <col min="478" max="726" width="8.85546875" style="1"/>
    <col min="727" max="727" width="11.85546875" style="1" customWidth="1"/>
    <col min="728" max="728" width="15" style="1" customWidth="1"/>
    <col min="729" max="729" width="12.85546875" style="1" customWidth="1"/>
    <col min="730" max="730" width="13.5703125" style="1" customWidth="1"/>
    <col min="731" max="731" width="14.140625" style="1" customWidth="1"/>
    <col min="732" max="732" width="12.5703125" style="1" customWidth="1"/>
    <col min="733" max="733" width="13.28515625" style="1" customWidth="1"/>
    <col min="734" max="982" width="8.85546875" style="1"/>
    <col min="983" max="983" width="11.85546875" style="1" customWidth="1"/>
    <col min="984" max="984" width="15" style="1" customWidth="1"/>
    <col min="985" max="985" width="12.85546875" style="1" customWidth="1"/>
    <col min="986" max="986" width="13.5703125" style="1" customWidth="1"/>
    <col min="987" max="987" width="14.140625" style="1" customWidth="1"/>
    <col min="988" max="988" width="12.5703125" style="1" customWidth="1"/>
    <col min="989" max="989" width="13.28515625" style="1" customWidth="1"/>
    <col min="990" max="1238" width="8.85546875" style="1"/>
    <col min="1239" max="1239" width="11.85546875" style="1" customWidth="1"/>
    <col min="1240" max="1240" width="15" style="1" customWidth="1"/>
    <col min="1241" max="1241" width="12.85546875" style="1" customWidth="1"/>
    <col min="1242" max="1242" width="13.5703125" style="1" customWidth="1"/>
    <col min="1243" max="1243" width="14.140625" style="1" customWidth="1"/>
    <col min="1244" max="1244" width="12.5703125" style="1" customWidth="1"/>
    <col min="1245" max="1245" width="13.28515625" style="1" customWidth="1"/>
    <col min="1246" max="1494" width="8.85546875" style="1"/>
    <col min="1495" max="1495" width="11.85546875" style="1" customWidth="1"/>
    <col min="1496" max="1496" width="15" style="1" customWidth="1"/>
    <col min="1497" max="1497" width="12.85546875" style="1" customWidth="1"/>
    <col min="1498" max="1498" width="13.5703125" style="1" customWidth="1"/>
    <col min="1499" max="1499" width="14.140625" style="1" customWidth="1"/>
    <col min="1500" max="1500" width="12.5703125" style="1" customWidth="1"/>
    <col min="1501" max="1501" width="13.28515625" style="1" customWidth="1"/>
    <col min="1502" max="1750" width="8.85546875" style="1"/>
    <col min="1751" max="1751" width="11.85546875" style="1" customWidth="1"/>
    <col min="1752" max="1752" width="15" style="1" customWidth="1"/>
    <col min="1753" max="1753" width="12.85546875" style="1" customWidth="1"/>
    <col min="1754" max="1754" width="13.5703125" style="1" customWidth="1"/>
    <col min="1755" max="1755" width="14.140625" style="1" customWidth="1"/>
    <col min="1756" max="1756" width="12.5703125" style="1" customWidth="1"/>
    <col min="1757" max="1757" width="13.28515625" style="1" customWidth="1"/>
    <col min="1758" max="2006" width="8.85546875" style="1"/>
    <col min="2007" max="2007" width="11.85546875" style="1" customWidth="1"/>
    <col min="2008" max="2008" width="15" style="1" customWidth="1"/>
    <col min="2009" max="2009" width="12.85546875" style="1" customWidth="1"/>
    <col min="2010" max="2010" width="13.5703125" style="1" customWidth="1"/>
    <col min="2011" max="2011" width="14.140625" style="1" customWidth="1"/>
    <col min="2012" max="2012" width="12.5703125" style="1" customWidth="1"/>
    <col min="2013" max="2013" width="13.28515625" style="1" customWidth="1"/>
    <col min="2014" max="2262" width="8.85546875" style="1"/>
    <col min="2263" max="2263" width="11.85546875" style="1" customWidth="1"/>
    <col min="2264" max="2264" width="15" style="1" customWidth="1"/>
    <col min="2265" max="2265" width="12.85546875" style="1" customWidth="1"/>
    <col min="2266" max="2266" width="13.5703125" style="1" customWidth="1"/>
    <col min="2267" max="2267" width="14.140625" style="1" customWidth="1"/>
    <col min="2268" max="2268" width="12.5703125" style="1" customWidth="1"/>
    <col min="2269" max="2269" width="13.28515625" style="1" customWidth="1"/>
    <col min="2270" max="2518" width="8.85546875" style="1"/>
    <col min="2519" max="2519" width="11.85546875" style="1" customWidth="1"/>
    <col min="2520" max="2520" width="15" style="1" customWidth="1"/>
    <col min="2521" max="2521" width="12.85546875" style="1" customWidth="1"/>
    <col min="2522" max="2522" width="13.5703125" style="1" customWidth="1"/>
    <col min="2523" max="2523" width="14.140625" style="1" customWidth="1"/>
    <col min="2524" max="2524" width="12.5703125" style="1" customWidth="1"/>
    <col min="2525" max="2525" width="13.28515625" style="1" customWidth="1"/>
    <col min="2526" max="2774" width="8.85546875" style="1"/>
    <col min="2775" max="2775" width="11.85546875" style="1" customWidth="1"/>
    <col min="2776" max="2776" width="15" style="1" customWidth="1"/>
    <col min="2777" max="2777" width="12.85546875" style="1" customWidth="1"/>
    <col min="2778" max="2778" width="13.5703125" style="1" customWidth="1"/>
    <col min="2779" max="2779" width="14.140625" style="1" customWidth="1"/>
    <col min="2780" max="2780" width="12.5703125" style="1" customWidth="1"/>
    <col min="2781" max="2781" width="13.28515625" style="1" customWidth="1"/>
    <col min="2782" max="3030" width="8.85546875" style="1"/>
    <col min="3031" max="3031" width="11.85546875" style="1" customWidth="1"/>
    <col min="3032" max="3032" width="15" style="1" customWidth="1"/>
    <col min="3033" max="3033" width="12.85546875" style="1" customWidth="1"/>
    <col min="3034" max="3034" width="13.5703125" style="1" customWidth="1"/>
    <col min="3035" max="3035" width="14.140625" style="1" customWidth="1"/>
    <col min="3036" max="3036" width="12.5703125" style="1" customWidth="1"/>
    <col min="3037" max="3037" width="13.28515625" style="1" customWidth="1"/>
    <col min="3038" max="3286" width="8.85546875" style="1"/>
    <col min="3287" max="3287" width="11.85546875" style="1" customWidth="1"/>
    <col min="3288" max="3288" width="15" style="1" customWidth="1"/>
    <col min="3289" max="3289" width="12.85546875" style="1" customWidth="1"/>
    <col min="3290" max="3290" width="13.5703125" style="1" customWidth="1"/>
    <col min="3291" max="3291" width="14.140625" style="1" customWidth="1"/>
    <col min="3292" max="3292" width="12.5703125" style="1" customWidth="1"/>
    <col min="3293" max="3293" width="13.28515625" style="1" customWidth="1"/>
    <col min="3294" max="3542" width="8.85546875" style="1"/>
    <col min="3543" max="3543" width="11.85546875" style="1" customWidth="1"/>
    <col min="3544" max="3544" width="15" style="1" customWidth="1"/>
    <col min="3545" max="3545" width="12.85546875" style="1" customWidth="1"/>
    <col min="3546" max="3546" width="13.5703125" style="1" customWidth="1"/>
    <col min="3547" max="3547" width="14.140625" style="1" customWidth="1"/>
    <col min="3548" max="3548" width="12.5703125" style="1" customWidth="1"/>
    <col min="3549" max="3549" width="13.28515625" style="1" customWidth="1"/>
    <col min="3550" max="3798" width="8.85546875" style="1"/>
    <col min="3799" max="3799" width="11.85546875" style="1" customWidth="1"/>
    <col min="3800" max="3800" width="15" style="1" customWidth="1"/>
    <col min="3801" max="3801" width="12.85546875" style="1" customWidth="1"/>
    <col min="3802" max="3802" width="13.5703125" style="1" customWidth="1"/>
    <col min="3803" max="3803" width="14.140625" style="1" customWidth="1"/>
    <col min="3804" max="3804" width="12.5703125" style="1" customWidth="1"/>
    <col min="3805" max="3805" width="13.28515625" style="1" customWidth="1"/>
    <col min="3806" max="4054" width="8.85546875" style="1"/>
    <col min="4055" max="4055" width="11.85546875" style="1" customWidth="1"/>
    <col min="4056" max="4056" width="15" style="1" customWidth="1"/>
    <col min="4057" max="4057" width="12.85546875" style="1" customWidth="1"/>
    <col min="4058" max="4058" width="13.5703125" style="1" customWidth="1"/>
    <col min="4059" max="4059" width="14.140625" style="1" customWidth="1"/>
    <col min="4060" max="4060" width="12.5703125" style="1" customWidth="1"/>
    <col min="4061" max="4061" width="13.28515625" style="1" customWidth="1"/>
    <col min="4062" max="4310" width="8.85546875" style="1"/>
    <col min="4311" max="4311" width="11.85546875" style="1" customWidth="1"/>
    <col min="4312" max="4312" width="15" style="1" customWidth="1"/>
    <col min="4313" max="4313" width="12.85546875" style="1" customWidth="1"/>
    <col min="4314" max="4314" width="13.5703125" style="1" customWidth="1"/>
    <col min="4315" max="4315" width="14.140625" style="1" customWidth="1"/>
    <col min="4316" max="4316" width="12.5703125" style="1" customWidth="1"/>
    <col min="4317" max="4317" width="13.28515625" style="1" customWidth="1"/>
    <col min="4318" max="4566" width="8.85546875" style="1"/>
    <col min="4567" max="4567" width="11.85546875" style="1" customWidth="1"/>
    <col min="4568" max="4568" width="15" style="1" customWidth="1"/>
    <col min="4569" max="4569" width="12.85546875" style="1" customWidth="1"/>
    <col min="4570" max="4570" width="13.5703125" style="1" customWidth="1"/>
    <col min="4571" max="4571" width="14.140625" style="1" customWidth="1"/>
    <col min="4572" max="4572" width="12.5703125" style="1" customWidth="1"/>
    <col min="4573" max="4573" width="13.28515625" style="1" customWidth="1"/>
    <col min="4574" max="4822" width="8.85546875" style="1"/>
    <col min="4823" max="4823" width="11.85546875" style="1" customWidth="1"/>
    <col min="4824" max="4824" width="15" style="1" customWidth="1"/>
    <col min="4825" max="4825" width="12.85546875" style="1" customWidth="1"/>
    <col min="4826" max="4826" width="13.5703125" style="1" customWidth="1"/>
    <col min="4827" max="4827" width="14.140625" style="1" customWidth="1"/>
    <col min="4828" max="4828" width="12.5703125" style="1" customWidth="1"/>
    <col min="4829" max="4829" width="13.28515625" style="1" customWidth="1"/>
    <col min="4830" max="5078" width="8.85546875" style="1"/>
    <col min="5079" max="5079" width="11.85546875" style="1" customWidth="1"/>
    <col min="5080" max="5080" width="15" style="1" customWidth="1"/>
    <col min="5081" max="5081" width="12.85546875" style="1" customWidth="1"/>
    <col min="5082" max="5082" width="13.5703125" style="1" customWidth="1"/>
    <col min="5083" max="5083" width="14.140625" style="1" customWidth="1"/>
    <col min="5084" max="5084" width="12.5703125" style="1" customWidth="1"/>
    <col min="5085" max="5085" width="13.28515625" style="1" customWidth="1"/>
    <col min="5086" max="5334" width="8.85546875" style="1"/>
    <col min="5335" max="5335" width="11.85546875" style="1" customWidth="1"/>
    <col min="5336" max="5336" width="15" style="1" customWidth="1"/>
    <col min="5337" max="5337" width="12.85546875" style="1" customWidth="1"/>
    <col min="5338" max="5338" width="13.5703125" style="1" customWidth="1"/>
    <col min="5339" max="5339" width="14.140625" style="1" customWidth="1"/>
    <col min="5340" max="5340" width="12.5703125" style="1" customWidth="1"/>
    <col min="5341" max="5341" width="13.28515625" style="1" customWidth="1"/>
    <col min="5342" max="5590" width="8.85546875" style="1"/>
    <col min="5591" max="5591" width="11.85546875" style="1" customWidth="1"/>
    <col min="5592" max="5592" width="15" style="1" customWidth="1"/>
    <col min="5593" max="5593" width="12.85546875" style="1" customWidth="1"/>
    <col min="5594" max="5594" width="13.5703125" style="1" customWidth="1"/>
    <col min="5595" max="5595" width="14.140625" style="1" customWidth="1"/>
    <col min="5596" max="5596" width="12.5703125" style="1" customWidth="1"/>
    <col min="5597" max="5597" width="13.28515625" style="1" customWidth="1"/>
    <col min="5598" max="5846" width="8.85546875" style="1"/>
    <col min="5847" max="5847" width="11.85546875" style="1" customWidth="1"/>
    <col min="5848" max="5848" width="15" style="1" customWidth="1"/>
    <col min="5849" max="5849" width="12.85546875" style="1" customWidth="1"/>
    <col min="5850" max="5850" width="13.5703125" style="1" customWidth="1"/>
    <col min="5851" max="5851" width="14.140625" style="1" customWidth="1"/>
    <col min="5852" max="5852" width="12.5703125" style="1" customWidth="1"/>
    <col min="5853" max="5853" width="13.28515625" style="1" customWidth="1"/>
    <col min="5854" max="6102" width="8.85546875" style="1"/>
    <col min="6103" max="6103" width="11.85546875" style="1" customWidth="1"/>
    <col min="6104" max="6104" width="15" style="1" customWidth="1"/>
    <col min="6105" max="6105" width="12.85546875" style="1" customWidth="1"/>
    <col min="6106" max="6106" width="13.5703125" style="1" customWidth="1"/>
    <col min="6107" max="6107" width="14.140625" style="1" customWidth="1"/>
    <col min="6108" max="6108" width="12.5703125" style="1" customWidth="1"/>
    <col min="6109" max="6109" width="13.28515625" style="1" customWidth="1"/>
    <col min="6110" max="6358" width="8.85546875" style="1"/>
    <col min="6359" max="6359" width="11.85546875" style="1" customWidth="1"/>
    <col min="6360" max="6360" width="15" style="1" customWidth="1"/>
    <col min="6361" max="6361" width="12.85546875" style="1" customWidth="1"/>
    <col min="6362" max="6362" width="13.5703125" style="1" customWidth="1"/>
    <col min="6363" max="6363" width="14.140625" style="1" customWidth="1"/>
    <col min="6364" max="6364" width="12.5703125" style="1" customWidth="1"/>
    <col min="6365" max="6365" width="13.28515625" style="1" customWidth="1"/>
    <col min="6366" max="6614" width="8.85546875" style="1"/>
    <col min="6615" max="6615" width="11.85546875" style="1" customWidth="1"/>
    <col min="6616" max="6616" width="15" style="1" customWidth="1"/>
    <col min="6617" max="6617" width="12.85546875" style="1" customWidth="1"/>
    <col min="6618" max="6618" width="13.5703125" style="1" customWidth="1"/>
    <col min="6619" max="6619" width="14.140625" style="1" customWidth="1"/>
    <col min="6620" max="6620" width="12.5703125" style="1" customWidth="1"/>
    <col min="6621" max="6621" width="13.28515625" style="1" customWidth="1"/>
    <col min="6622" max="6870" width="8.85546875" style="1"/>
    <col min="6871" max="6871" width="11.85546875" style="1" customWidth="1"/>
    <col min="6872" max="6872" width="15" style="1" customWidth="1"/>
    <col min="6873" max="6873" width="12.85546875" style="1" customWidth="1"/>
    <col min="6874" max="6874" width="13.5703125" style="1" customWidth="1"/>
    <col min="6875" max="6875" width="14.140625" style="1" customWidth="1"/>
    <col min="6876" max="6876" width="12.5703125" style="1" customWidth="1"/>
    <col min="6877" max="6877" width="13.28515625" style="1" customWidth="1"/>
    <col min="6878" max="7126" width="8.85546875" style="1"/>
    <col min="7127" max="7127" width="11.85546875" style="1" customWidth="1"/>
    <col min="7128" max="7128" width="15" style="1" customWidth="1"/>
    <col min="7129" max="7129" width="12.85546875" style="1" customWidth="1"/>
    <col min="7130" max="7130" width="13.5703125" style="1" customWidth="1"/>
    <col min="7131" max="7131" width="14.140625" style="1" customWidth="1"/>
    <col min="7132" max="7132" width="12.5703125" style="1" customWidth="1"/>
    <col min="7133" max="7133" width="13.28515625" style="1" customWidth="1"/>
    <col min="7134" max="7382" width="8.85546875" style="1"/>
    <col min="7383" max="7383" width="11.85546875" style="1" customWidth="1"/>
    <col min="7384" max="7384" width="15" style="1" customWidth="1"/>
    <col min="7385" max="7385" width="12.85546875" style="1" customWidth="1"/>
    <col min="7386" max="7386" width="13.5703125" style="1" customWidth="1"/>
    <col min="7387" max="7387" width="14.140625" style="1" customWidth="1"/>
    <col min="7388" max="7388" width="12.5703125" style="1" customWidth="1"/>
    <col min="7389" max="7389" width="13.28515625" style="1" customWidth="1"/>
    <col min="7390" max="7638" width="8.85546875" style="1"/>
    <col min="7639" max="7639" width="11.85546875" style="1" customWidth="1"/>
    <col min="7640" max="7640" width="15" style="1" customWidth="1"/>
    <col min="7641" max="7641" width="12.85546875" style="1" customWidth="1"/>
    <col min="7642" max="7642" width="13.5703125" style="1" customWidth="1"/>
    <col min="7643" max="7643" width="14.140625" style="1" customWidth="1"/>
    <col min="7644" max="7644" width="12.5703125" style="1" customWidth="1"/>
    <col min="7645" max="7645" width="13.28515625" style="1" customWidth="1"/>
    <col min="7646" max="7894" width="8.85546875" style="1"/>
    <col min="7895" max="7895" width="11.85546875" style="1" customWidth="1"/>
    <col min="7896" max="7896" width="15" style="1" customWidth="1"/>
    <col min="7897" max="7897" width="12.85546875" style="1" customWidth="1"/>
    <col min="7898" max="7898" width="13.5703125" style="1" customWidth="1"/>
    <col min="7899" max="7899" width="14.140625" style="1" customWidth="1"/>
    <col min="7900" max="7900" width="12.5703125" style="1" customWidth="1"/>
    <col min="7901" max="7901" width="13.28515625" style="1" customWidth="1"/>
    <col min="7902" max="8150" width="8.85546875" style="1"/>
    <col min="8151" max="8151" width="11.85546875" style="1" customWidth="1"/>
    <col min="8152" max="8152" width="15" style="1" customWidth="1"/>
    <col min="8153" max="8153" width="12.85546875" style="1" customWidth="1"/>
    <col min="8154" max="8154" width="13.5703125" style="1" customWidth="1"/>
    <col min="8155" max="8155" width="14.140625" style="1" customWidth="1"/>
    <col min="8156" max="8156" width="12.5703125" style="1" customWidth="1"/>
    <col min="8157" max="8157" width="13.28515625" style="1" customWidth="1"/>
    <col min="8158" max="8406" width="8.85546875" style="1"/>
    <col min="8407" max="8407" width="11.85546875" style="1" customWidth="1"/>
    <col min="8408" max="8408" width="15" style="1" customWidth="1"/>
    <col min="8409" max="8409" width="12.85546875" style="1" customWidth="1"/>
    <col min="8410" max="8410" width="13.5703125" style="1" customWidth="1"/>
    <col min="8411" max="8411" width="14.140625" style="1" customWidth="1"/>
    <col min="8412" max="8412" width="12.5703125" style="1" customWidth="1"/>
    <col min="8413" max="8413" width="13.28515625" style="1" customWidth="1"/>
    <col min="8414" max="8662" width="8.85546875" style="1"/>
    <col min="8663" max="8663" width="11.85546875" style="1" customWidth="1"/>
    <col min="8664" max="8664" width="15" style="1" customWidth="1"/>
    <col min="8665" max="8665" width="12.85546875" style="1" customWidth="1"/>
    <col min="8666" max="8666" width="13.5703125" style="1" customWidth="1"/>
    <col min="8667" max="8667" width="14.140625" style="1" customWidth="1"/>
    <col min="8668" max="8668" width="12.5703125" style="1" customWidth="1"/>
    <col min="8669" max="8669" width="13.28515625" style="1" customWidth="1"/>
    <col min="8670" max="8918" width="8.85546875" style="1"/>
    <col min="8919" max="8919" width="11.85546875" style="1" customWidth="1"/>
    <col min="8920" max="8920" width="15" style="1" customWidth="1"/>
    <col min="8921" max="8921" width="12.85546875" style="1" customWidth="1"/>
    <col min="8922" max="8922" width="13.5703125" style="1" customWidth="1"/>
    <col min="8923" max="8923" width="14.140625" style="1" customWidth="1"/>
    <col min="8924" max="8924" width="12.5703125" style="1" customWidth="1"/>
    <col min="8925" max="8925" width="13.28515625" style="1" customWidth="1"/>
    <col min="8926" max="9174" width="8.85546875" style="1"/>
    <col min="9175" max="9175" width="11.85546875" style="1" customWidth="1"/>
    <col min="9176" max="9176" width="15" style="1" customWidth="1"/>
    <col min="9177" max="9177" width="12.85546875" style="1" customWidth="1"/>
    <col min="9178" max="9178" width="13.5703125" style="1" customWidth="1"/>
    <col min="9179" max="9179" width="14.140625" style="1" customWidth="1"/>
    <col min="9180" max="9180" width="12.5703125" style="1" customWidth="1"/>
    <col min="9181" max="9181" width="13.28515625" style="1" customWidth="1"/>
    <col min="9182" max="9430" width="8.85546875" style="1"/>
    <col min="9431" max="9431" width="11.85546875" style="1" customWidth="1"/>
    <col min="9432" max="9432" width="15" style="1" customWidth="1"/>
    <col min="9433" max="9433" width="12.85546875" style="1" customWidth="1"/>
    <col min="9434" max="9434" width="13.5703125" style="1" customWidth="1"/>
    <col min="9435" max="9435" width="14.140625" style="1" customWidth="1"/>
    <col min="9436" max="9436" width="12.5703125" style="1" customWidth="1"/>
    <col min="9437" max="9437" width="13.28515625" style="1" customWidth="1"/>
    <col min="9438" max="9686" width="8.85546875" style="1"/>
    <col min="9687" max="9687" width="11.85546875" style="1" customWidth="1"/>
    <col min="9688" max="9688" width="15" style="1" customWidth="1"/>
    <col min="9689" max="9689" width="12.85546875" style="1" customWidth="1"/>
    <col min="9690" max="9690" width="13.5703125" style="1" customWidth="1"/>
    <col min="9691" max="9691" width="14.140625" style="1" customWidth="1"/>
    <col min="9692" max="9692" width="12.5703125" style="1" customWidth="1"/>
    <col min="9693" max="9693" width="13.28515625" style="1" customWidth="1"/>
    <col min="9694" max="9942" width="8.85546875" style="1"/>
    <col min="9943" max="9943" width="11.85546875" style="1" customWidth="1"/>
    <col min="9944" max="9944" width="15" style="1" customWidth="1"/>
    <col min="9945" max="9945" width="12.85546875" style="1" customWidth="1"/>
    <col min="9946" max="9946" width="13.5703125" style="1" customWidth="1"/>
    <col min="9947" max="9947" width="14.140625" style="1" customWidth="1"/>
    <col min="9948" max="9948" width="12.5703125" style="1" customWidth="1"/>
    <col min="9949" max="9949" width="13.28515625" style="1" customWidth="1"/>
    <col min="9950" max="10198" width="8.85546875" style="1"/>
    <col min="10199" max="10199" width="11.85546875" style="1" customWidth="1"/>
    <col min="10200" max="10200" width="15" style="1" customWidth="1"/>
    <col min="10201" max="10201" width="12.85546875" style="1" customWidth="1"/>
    <col min="10202" max="10202" width="13.5703125" style="1" customWidth="1"/>
    <col min="10203" max="10203" width="14.140625" style="1" customWidth="1"/>
    <col min="10204" max="10204" width="12.5703125" style="1" customWidth="1"/>
    <col min="10205" max="10205" width="13.28515625" style="1" customWidth="1"/>
    <col min="10206" max="10454" width="8.85546875" style="1"/>
    <col min="10455" max="10455" width="11.85546875" style="1" customWidth="1"/>
    <col min="10456" max="10456" width="15" style="1" customWidth="1"/>
    <col min="10457" max="10457" width="12.85546875" style="1" customWidth="1"/>
    <col min="10458" max="10458" width="13.5703125" style="1" customWidth="1"/>
    <col min="10459" max="10459" width="14.140625" style="1" customWidth="1"/>
    <col min="10460" max="10460" width="12.5703125" style="1" customWidth="1"/>
    <col min="10461" max="10461" width="13.28515625" style="1" customWidth="1"/>
    <col min="10462" max="10710" width="8.85546875" style="1"/>
    <col min="10711" max="10711" width="11.85546875" style="1" customWidth="1"/>
    <col min="10712" max="10712" width="15" style="1" customWidth="1"/>
    <col min="10713" max="10713" width="12.85546875" style="1" customWidth="1"/>
    <col min="10714" max="10714" width="13.5703125" style="1" customWidth="1"/>
    <col min="10715" max="10715" width="14.140625" style="1" customWidth="1"/>
    <col min="10716" max="10716" width="12.5703125" style="1" customWidth="1"/>
    <col min="10717" max="10717" width="13.28515625" style="1" customWidth="1"/>
    <col min="10718" max="10966" width="8.85546875" style="1"/>
    <col min="10967" max="10967" width="11.85546875" style="1" customWidth="1"/>
    <col min="10968" max="10968" width="15" style="1" customWidth="1"/>
    <col min="10969" max="10969" width="12.85546875" style="1" customWidth="1"/>
    <col min="10970" max="10970" width="13.5703125" style="1" customWidth="1"/>
    <col min="10971" max="10971" width="14.140625" style="1" customWidth="1"/>
    <col min="10972" max="10972" width="12.5703125" style="1" customWidth="1"/>
    <col min="10973" max="10973" width="13.28515625" style="1" customWidth="1"/>
    <col min="10974" max="11222" width="8.85546875" style="1"/>
    <col min="11223" max="11223" width="11.85546875" style="1" customWidth="1"/>
    <col min="11224" max="11224" width="15" style="1" customWidth="1"/>
    <col min="11225" max="11225" width="12.85546875" style="1" customWidth="1"/>
    <col min="11226" max="11226" width="13.5703125" style="1" customWidth="1"/>
    <col min="11227" max="11227" width="14.140625" style="1" customWidth="1"/>
    <col min="11228" max="11228" width="12.5703125" style="1" customWidth="1"/>
    <col min="11229" max="11229" width="13.28515625" style="1" customWidth="1"/>
    <col min="11230" max="11478" width="8.85546875" style="1"/>
    <col min="11479" max="11479" width="11.85546875" style="1" customWidth="1"/>
    <col min="11480" max="11480" width="15" style="1" customWidth="1"/>
    <col min="11481" max="11481" width="12.85546875" style="1" customWidth="1"/>
    <col min="11482" max="11482" width="13.5703125" style="1" customWidth="1"/>
    <col min="11483" max="11483" width="14.140625" style="1" customWidth="1"/>
    <col min="11484" max="11484" width="12.5703125" style="1" customWidth="1"/>
    <col min="11485" max="11485" width="13.28515625" style="1" customWidth="1"/>
    <col min="11486" max="11734" width="8.85546875" style="1"/>
    <col min="11735" max="11735" width="11.85546875" style="1" customWidth="1"/>
    <col min="11736" max="11736" width="15" style="1" customWidth="1"/>
    <col min="11737" max="11737" width="12.85546875" style="1" customWidth="1"/>
    <col min="11738" max="11738" width="13.5703125" style="1" customWidth="1"/>
    <col min="11739" max="11739" width="14.140625" style="1" customWidth="1"/>
    <col min="11740" max="11740" width="12.5703125" style="1" customWidth="1"/>
    <col min="11741" max="11741" width="13.28515625" style="1" customWidth="1"/>
    <col min="11742" max="11990" width="8.85546875" style="1"/>
    <col min="11991" max="11991" width="11.85546875" style="1" customWidth="1"/>
    <col min="11992" max="11992" width="15" style="1" customWidth="1"/>
    <col min="11993" max="11993" width="12.85546875" style="1" customWidth="1"/>
    <col min="11994" max="11994" width="13.5703125" style="1" customWidth="1"/>
    <col min="11995" max="11995" width="14.140625" style="1" customWidth="1"/>
    <col min="11996" max="11996" width="12.5703125" style="1" customWidth="1"/>
    <col min="11997" max="11997" width="13.28515625" style="1" customWidth="1"/>
    <col min="11998" max="12246" width="8.85546875" style="1"/>
    <col min="12247" max="12247" width="11.85546875" style="1" customWidth="1"/>
    <col min="12248" max="12248" width="15" style="1" customWidth="1"/>
    <col min="12249" max="12249" width="12.85546875" style="1" customWidth="1"/>
    <col min="12250" max="12250" width="13.5703125" style="1" customWidth="1"/>
    <col min="12251" max="12251" width="14.140625" style="1" customWidth="1"/>
    <col min="12252" max="12252" width="12.5703125" style="1" customWidth="1"/>
    <col min="12253" max="12253" width="13.28515625" style="1" customWidth="1"/>
    <col min="12254" max="12502" width="8.85546875" style="1"/>
    <col min="12503" max="12503" width="11.85546875" style="1" customWidth="1"/>
    <col min="12504" max="12504" width="15" style="1" customWidth="1"/>
    <col min="12505" max="12505" width="12.85546875" style="1" customWidth="1"/>
    <col min="12506" max="12506" width="13.5703125" style="1" customWidth="1"/>
    <col min="12507" max="12507" width="14.140625" style="1" customWidth="1"/>
    <col min="12508" max="12508" width="12.5703125" style="1" customWidth="1"/>
    <col min="12509" max="12509" width="13.28515625" style="1" customWidth="1"/>
    <col min="12510" max="12758" width="8.85546875" style="1"/>
    <col min="12759" max="12759" width="11.85546875" style="1" customWidth="1"/>
    <col min="12760" max="12760" width="15" style="1" customWidth="1"/>
    <col min="12761" max="12761" width="12.85546875" style="1" customWidth="1"/>
    <col min="12762" max="12762" width="13.5703125" style="1" customWidth="1"/>
    <col min="12763" max="12763" width="14.140625" style="1" customWidth="1"/>
    <col min="12764" max="12764" width="12.5703125" style="1" customWidth="1"/>
    <col min="12765" max="12765" width="13.28515625" style="1" customWidth="1"/>
    <col min="12766" max="13014" width="8.85546875" style="1"/>
    <col min="13015" max="13015" width="11.85546875" style="1" customWidth="1"/>
    <col min="13016" max="13016" width="15" style="1" customWidth="1"/>
    <col min="13017" max="13017" width="12.85546875" style="1" customWidth="1"/>
    <col min="13018" max="13018" width="13.5703125" style="1" customWidth="1"/>
    <col min="13019" max="13019" width="14.140625" style="1" customWidth="1"/>
    <col min="13020" max="13020" width="12.5703125" style="1" customWidth="1"/>
    <col min="13021" max="13021" width="13.28515625" style="1" customWidth="1"/>
    <col min="13022" max="13270" width="8.85546875" style="1"/>
    <col min="13271" max="13271" width="11.85546875" style="1" customWidth="1"/>
    <col min="13272" max="13272" width="15" style="1" customWidth="1"/>
    <col min="13273" max="13273" width="12.85546875" style="1" customWidth="1"/>
    <col min="13274" max="13274" width="13.5703125" style="1" customWidth="1"/>
    <col min="13275" max="13275" width="14.140625" style="1" customWidth="1"/>
    <col min="13276" max="13276" width="12.5703125" style="1" customWidth="1"/>
    <col min="13277" max="13277" width="13.28515625" style="1" customWidth="1"/>
    <col min="13278" max="13526" width="8.85546875" style="1"/>
    <col min="13527" max="13527" width="11.85546875" style="1" customWidth="1"/>
    <col min="13528" max="13528" width="15" style="1" customWidth="1"/>
    <col min="13529" max="13529" width="12.85546875" style="1" customWidth="1"/>
    <col min="13530" max="13530" width="13.5703125" style="1" customWidth="1"/>
    <col min="13531" max="13531" width="14.140625" style="1" customWidth="1"/>
    <col min="13532" max="13532" width="12.5703125" style="1" customWidth="1"/>
    <col min="13533" max="13533" width="13.28515625" style="1" customWidth="1"/>
    <col min="13534" max="13782" width="8.85546875" style="1"/>
    <col min="13783" max="13783" width="11.85546875" style="1" customWidth="1"/>
    <col min="13784" max="13784" width="15" style="1" customWidth="1"/>
    <col min="13785" max="13785" width="12.85546875" style="1" customWidth="1"/>
    <col min="13786" max="13786" width="13.5703125" style="1" customWidth="1"/>
    <col min="13787" max="13787" width="14.140625" style="1" customWidth="1"/>
    <col min="13788" max="13788" width="12.5703125" style="1" customWidth="1"/>
    <col min="13789" max="13789" width="13.28515625" style="1" customWidth="1"/>
    <col min="13790" max="14038" width="8.85546875" style="1"/>
    <col min="14039" max="14039" width="11.85546875" style="1" customWidth="1"/>
    <col min="14040" max="14040" width="15" style="1" customWidth="1"/>
    <col min="14041" max="14041" width="12.85546875" style="1" customWidth="1"/>
    <col min="14042" max="14042" width="13.5703125" style="1" customWidth="1"/>
    <col min="14043" max="14043" width="14.140625" style="1" customWidth="1"/>
    <col min="14044" max="14044" width="12.5703125" style="1" customWidth="1"/>
    <col min="14045" max="14045" width="13.28515625" style="1" customWidth="1"/>
    <col min="14046" max="14294" width="8.85546875" style="1"/>
    <col min="14295" max="14295" width="11.85546875" style="1" customWidth="1"/>
    <col min="14296" max="14296" width="15" style="1" customWidth="1"/>
    <col min="14297" max="14297" width="12.85546875" style="1" customWidth="1"/>
    <col min="14298" max="14298" width="13.5703125" style="1" customWidth="1"/>
    <col min="14299" max="14299" width="14.140625" style="1" customWidth="1"/>
    <col min="14300" max="14300" width="12.5703125" style="1" customWidth="1"/>
    <col min="14301" max="14301" width="13.28515625" style="1" customWidth="1"/>
    <col min="14302" max="14550" width="8.85546875" style="1"/>
    <col min="14551" max="14551" width="11.85546875" style="1" customWidth="1"/>
    <col min="14552" max="14552" width="15" style="1" customWidth="1"/>
    <col min="14553" max="14553" width="12.85546875" style="1" customWidth="1"/>
    <col min="14554" max="14554" width="13.5703125" style="1" customWidth="1"/>
    <col min="14555" max="14555" width="14.140625" style="1" customWidth="1"/>
    <col min="14556" max="14556" width="12.5703125" style="1" customWidth="1"/>
    <col min="14557" max="14557" width="13.28515625" style="1" customWidth="1"/>
    <col min="14558" max="14806" width="8.85546875" style="1"/>
    <col min="14807" max="14807" width="11.85546875" style="1" customWidth="1"/>
    <col min="14808" max="14808" width="15" style="1" customWidth="1"/>
    <col min="14809" max="14809" width="12.85546875" style="1" customWidth="1"/>
    <col min="14810" max="14810" width="13.5703125" style="1" customWidth="1"/>
    <col min="14811" max="14811" width="14.140625" style="1" customWidth="1"/>
    <col min="14812" max="14812" width="12.5703125" style="1" customWidth="1"/>
    <col min="14813" max="14813" width="13.28515625" style="1" customWidth="1"/>
    <col min="14814" max="15062" width="8.85546875" style="1"/>
    <col min="15063" max="15063" width="11.85546875" style="1" customWidth="1"/>
    <col min="15064" max="15064" width="15" style="1" customWidth="1"/>
    <col min="15065" max="15065" width="12.85546875" style="1" customWidth="1"/>
    <col min="15066" max="15066" width="13.5703125" style="1" customWidth="1"/>
    <col min="15067" max="15067" width="14.140625" style="1" customWidth="1"/>
    <col min="15068" max="15068" width="12.5703125" style="1" customWidth="1"/>
    <col min="15069" max="15069" width="13.28515625" style="1" customWidth="1"/>
    <col min="15070" max="15318" width="8.85546875" style="1"/>
    <col min="15319" max="15319" width="11.85546875" style="1" customWidth="1"/>
    <col min="15320" max="15320" width="15" style="1" customWidth="1"/>
    <col min="15321" max="15321" width="12.85546875" style="1" customWidth="1"/>
    <col min="15322" max="15322" width="13.5703125" style="1" customWidth="1"/>
    <col min="15323" max="15323" width="14.140625" style="1" customWidth="1"/>
    <col min="15324" max="15324" width="12.5703125" style="1" customWidth="1"/>
    <col min="15325" max="15325" width="13.28515625" style="1" customWidth="1"/>
    <col min="15326" max="15574" width="8.85546875" style="1"/>
    <col min="15575" max="15575" width="11.85546875" style="1" customWidth="1"/>
    <col min="15576" max="15576" width="15" style="1" customWidth="1"/>
    <col min="15577" max="15577" width="12.85546875" style="1" customWidth="1"/>
    <col min="15578" max="15578" width="13.5703125" style="1" customWidth="1"/>
    <col min="15579" max="15579" width="14.140625" style="1" customWidth="1"/>
    <col min="15580" max="15580" width="12.5703125" style="1" customWidth="1"/>
    <col min="15581" max="15581" width="13.28515625" style="1" customWidth="1"/>
    <col min="15582" max="15830" width="8.85546875" style="1"/>
    <col min="15831" max="15831" width="11.85546875" style="1" customWidth="1"/>
    <col min="15832" max="15832" width="15" style="1" customWidth="1"/>
    <col min="15833" max="15833" width="12.85546875" style="1" customWidth="1"/>
    <col min="15834" max="15834" width="13.5703125" style="1" customWidth="1"/>
    <col min="15835" max="15835" width="14.140625" style="1" customWidth="1"/>
    <col min="15836" max="15836" width="12.5703125" style="1" customWidth="1"/>
    <col min="15837" max="15837" width="13.28515625" style="1" customWidth="1"/>
    <col min="15838" max="16086" width="8.85546875" style="1"/>
    <col min="16087" max="16087" width="11.85546875" style="1" customWidth="1"/>
    <col min="16088" max="16088" width="15" style="1" customWidth="1"/>
    <col min="16089" max="16089" width="12.85546875" style="1" customWidth="1"/>
    <col min="16090" max="16090" width="13.5703125" style="1" customWidth="1"/>
    <col min="16091" max="16091" width="14.140625" style="1" customWidth="1"/>
    <col min="16092" max="16092" width="12.5703125" style="1" customWidth="1"/>
    <col min="16093" max="16093" width="13.28515625" style="1" customWidth="1"/>
    <col min="16094" max="16384" width="8.85546875" style="1"/>
  </cols>
  <sheetData>
    <row r="1" spans="1:15" ht="60" customHeight="1" x14ac:dyDescent="0.2">
      <c r="B1" s="13"/>
      <c r="C1" s="13" t="s">
        <v>154</v>
      </c>
    </row>
    <row r="3" spans="1:15" ht="20.100000000000001" customHeight="1" thickBot="1" x14ac:dyDescent="0.35">
      <c r="A3" s="12" t="s">
        <v>2</v>
      </c>
      <c r="B3" s="3"/>
      <c r="C3" s="3"/>
      <c r="D3" s="3"/>
    </row>
    <row r="4" spans="1:15" ht="20.100000000000001" customHeight="1" thickTop="1" thickBot="1" x14ac:dyDescent="0.25">
      <c r="A4" s="51" t="s">
        <v>146</v>
      </c>
      <c r="B4" s="76" t="s">
        <v>45</v>
      </c>
      <c r="C4" s="76" t="s">
        <v>51</v>
      </c>
      <c r="D4" s="118" t="s">
        <v>46</v>
      </c>
      <c r="E4" s="76" t="s">
        <v>51</v>
      </c>
      <c r="F4" s="100" t="s">
        <v>47</v>
      </c>
      <c r="G4" s="100" t="s">
        <v>147</v>
      </c>
      <c r="H4" s="100" t="s">
        <v>148</v>
      </c>
      <c r="I4" s="100" t="s">
        <v>149</v>
      </c>
      <c r="J4" s="100" t="s">
        <v>150</v>
      </c>
      <c r="K4" s="101" t="s">
        <v>53</v>
      </c>
      <c r="L4" s="77" t="s">
        <v>48</v>
      </c>
      <c r="M4" s="30" t="s">
        <v>50</v>
      </c>
      <c r="N4" s="17" t="s">
        <v>49</v>
      </c>
      <c r="O4" s="65"/>
    </row>
    <row r="5" spans="1:15" ht="20.100000000000001" customHeight="1" thickTop="1" x14ac:dyDescent="0.2">
      <c r="A5" s="121">
        <v>1</v>
      </c>
      <c r="B5" s="40">
        <v>44926.5</v>
      </c>
      <c r="C5" s="41">
        <v>9</v>
      </c>
      <c r="D5" s="40">
        <v>44935.520833333336</v>
      </c>
      <c r="E5" s="41">
        <v>8</v>
      </c>
      <c r="F5" s="42">
        <v>2456</v>
      </c>
      <c r="G5" s="42">
        <v>100</v>
      </c>
      <c r="H5" s="42">
        <v>1</v>
      </c>
      <c r="I5" s="42">
        <v>10</v>
      </c>
      <c r="J5" s="42">
        <v>140</v>
      </c>
      <c r="K5" s="79">
        <v>30</v>
      </c>
      <c r="L5" s="88">
        <f>(D5-E5/24)-(B5-C5/24)</f>
        <v>9.0625</v>
      </c>
      <c r="M5" s="89">
        <f>L5*24</f>
        <v>217.5</v>
      </c>
      <c r="N5" s="90">
        <f t="shared" ref="N5:N24" si="0">IF(M5=0,0,F5/M5)</f>
        <v>11.291954022988506</v>
      </c>
      <c r="O5" s="91"/>
    </row>
    <row r="6" spans="1:15" ht="20.100000000000001" customHeight="1" x14ac:dyDescent="0.2">
      <c r="A6" s="122">
        <v>2</v>
      </c>
      <c r="B6" s="43">
        <v>44935.520833333336</v>
      </c>
      <c r="C6" s="44">
        <v>8</v>
      </c>
      <c r="D6" s="119">
        <v>44935.625</v>
      </c>
      <c r="E6" s="44">
        <v>8</v>
      </c>
      <c r="F6" s="45">
        <v>30</v>
      </c>
      <c r="G6" s="45">
        <v>0</v>
      </c>
      <c r="H6" s="55">
        <v>40</v>
      </c>
      <c r="I6" s="55">
        <v>0</v>
      </c>
      <c r="J6" s="55">
        <v>140</v>
      </c>
      <c r="K6" s="80"/>
      <c r="L6" s="92">
        <f t="shared" ref="L6:L24" si="1">(D6-E6/24)-(B6-C6/24)</f>
        <v>0.10416666666424135</v>
      </c>
      <c r="M6" s="93">
        <f t="shared" ref="M6:M24" si="2">L6*24</f>
        <v>2.4999999999417923</v>
      </c>
      <c r="N6" s="94">
        <f t="shared" si="0"/>
        <v>12.000000000279396</v>
      </c>
      <c r="O6" s="91"/>
    </row>
    <row r="7" spans="1:15" ht="20.100000000000001" customHeight="1" x14ac:dyDescent="0.2">
      <c r="A7" s="122">
        <v>3</v>
      </c>
      <c r="B7" s="43">
        <v>44935.625</v>
      </c>
      <c r="C7" s="44">
        <v>8</v>
      </c>
      <c r="D7" s="43">
        <v>44936.625</v>
      </c>
      <c r="E7" s="44">
        <v>8</v>
      </c>
      <c r="F7" s="45">
        <v>24</v>
      </c>
      <c r="G7" s="45">
        <v>50</v>
      </c>
      <c r="H7" s="45">
        <v>1</v>
      </c>
      <c r="I7" s="45">
        <v>0</v>
      </c>
      <c r="J7" s="45">
        <v>140</v>
      </c>
      <c r="K7" s="81">
        <v>0</v>
      </c>
      <c r="L7" s="95">
        <f t="shared" si="1"/>
        <v>1</v>
      </c>
      <c r="M7" s="96">
        <f t="shared" si="2"/>
        <v>24</v>
      </c>
      <c r="N7" s="94">
        <f t="shared" si="0"/>
        <v>1</v>
      </c>
      <c r="O7" s="91"/>
    </row>
    <row r="8" spans="1:15" ht="20.100000000000001" customHeight="1" x14ac:dyDescent="0.2">
      <c r="A8" s="122">
        <v>4</v>
      </c>
      <c r="B8" s="43">
        <v>44936.625</v>
      </c>
      <c r="C8" s="44">
        <v>8</v>
      </c>
      <c r="D8" s="43">
        <v>44936.708333333336</v>
      </c>
      <c r="E8" s="44">
        <v>8</v>
      </c>
      <c r="F8" s="45">
        <v>30</v>
      </c>
      <c r="G8" s="45">
        <v>0</v>
      </c>
      <c r="H8" s="45">
        <v>40</v>
      </c>
      <c r="I8" s="45">
        <v>0</v>
      </c>
      <c r="J8" s="45">
        <v>140</v>
      </c>
      <c r="K8" s="81">
        <v>0</v>
      </c>
      <c r="L8" s="95">
        <f t="shared" si="1"/>
        <v>8.3333333335758653E-2</v>
      </c>
      <c r="M8" s="96">
        <f t="shared" si="2"/>
        <v>2.0000000000582077</v>
      </c>
      <c r="N8" s="94">
        <f t="shared" si="0"/>
        <v>14.999999999563443</v>
      </c>
      <c r="O8" s="91"/>
    </row>
    <row r="9" spans="1:15" ht="20.100000000000001" customHeight="1" x14ac:dyDescent="0.2">
      <c r="A9" s="122">
        <v>5</v>
      </c>
      <c r="B9" s="43">
        <v>44936.708333333336</v>
      </c>
      <c r="C9" s="44">
        <v>8</v>
      </c>
      <c r="D9" s="43">
        <v>44959.000694444447</v>
      </c>
      <c r="E9" s="44">
        <v>9</v>
      </c>
      <c r="F9" s="45">
        <v>3760</v>
      </c>
      <c r="G9" s="45">
        <v>100</v>
      </c>
      <c r="H9" s="45">
        <v>1</v>
      </c>
      <c r="I9" s="45">
        <v>0</v>
      </c>
      <c r="J9" s="45">
        <v>140</v>
      </c>
      <c r="K9" s="81">
        <v>20</v>
      </c>
      <c r="L9" s="95">
        <f t="shared" si="1"/>
        <v>22.250694444446708</v>
      </c>
      <c r="M9" s="96">
        <f t="shared" si="2"/>
        <v>534.01666666672099</v>
      </c>
      <c r="N9" s="94">
        <f t="shared" si="0"/>
        <v>7.0409787459809943</v>
      </c>
      <c r="O9" s="91"/>
    </row>
    <row r="10" spans="1:15" ht="20.100000000000001" customHeight="1" x14ac:dyDescent="0.2">
      <c r="A10" s="122">
        <v>6</v>
      </c>
      <c r="B10" s="43">
        <v>44959.000694444447</v>
      </c>
      <c r="C10" s="44">
        <v>9</v>
      </c>
      <c r="D10" s="43">
        <v>44959.25</v>
      </c>
      <c r="E10" s="44">
        <v>9</v>
      </c>
      <c r="F10" s="45">
        <v>40</v>
      </c>
      <c r="G10" s="45">
        <v>0</v>
      </c>
      <c r="H10" s="45">
        <v>40</v>
      </c>
      <c r="I10" s="45">
        <v>0</v>
      </c>
      <c r="J10" s="45">
        <v>140</v>
      </c>
      <c r="K10" s="81">
        <v>0</v>
      </c>
      <c r="L10" s="95">
        <f t="shared" si="1"/>
        <v>0.24930555555329192</v>
      </c>
      <c r="M10" s="96">
        <f t="shared" si="2"/>
        <v>5.9833333332790062</v>
      </c>
      <c r="N10" s="94">
        <f t="shared" si="0"/>
        <v>6.6852367688629286</v>
      </c>
      <c r="O10" s="91"/>
    </row>
    <row r="11" spans="1:15" ht="20.100000000000001" customHeight="1" x14ac:dyDescent="0.2">
      <c r="A11" s="122">
        <v>7</v>
      </c>
      <c r="B11" s="43">
        <v>44959.25</v>
      </c>
      <c r="C11" s="44">
        <v>9</v>
      </c>
      <c r="D11" s="43">
        <v>44960.5</v>
      </c>
      <c r="E11" s="44">
        <v>9</v>
      </c>
      <c r="F11" s="45">
        <v>30</v>
      </c>
      <c r="G11" s="45">
        <v>0</v>
      </c>
      <c r="H11" s="45">
        <v>43</v>
      </c>
      <c r="I11" s="45">
        <v>0</v>
      </c>
      <c r="J11" s="45">
        <v>140</v>
      </c>
      <c r="K11" s="81">
        <v>0</v>
      </c>
      <c r="L11" s="95">
        <f t="shared" si="1"/>
        <v>1.25</v>
      </c>
      <c r="M11" s="96">
        <f t="shared" si="2"/>
        <v>30</v>
      </c>
      <c r="N11" s="94">
        <f t="shared" si="0"/>
        <v>1</v>
      </c>
      <c r="O11" s="91"/>
    </row>
    <row r="12" spans="1:15" ht="20.100000000000001" customHeight="1" x14ac:dyDescent="0.2">
      <c r="A12" s="122">
        <v>8</v>
      </c>
      <c r="B12" s="43"/>
      <c r="C12" s="44"/>
      <c r="D12" s="59"/>
      <c r="E12" s="44"/>
      <c r="F12" s="45"/>
      <c r="G12" s="45"/>
      <c r="H12" s="45"/>
      <c r="I12" s="45"/>
      <c r="J12" s="45"/>
      <c r="K12" s="81"/>
      <c r="L12" s="95">
        <f t="shared" si="1"/>
        <v>0</v>
      </c>
      <c r="M12" s="96">
        <f t="shared" si="2"/>
        <v>0</v>
      </c>
      <c r="N12" s="94">
        <f t="shared" si="0"/>
        <v>0</v>
      </c>
      <c r="O12" s="91"/>
    </row>
    <row r="13" spans="1:15" ht="20.100000000000001" customHeight="1" x14ac:dyDescent="0.2">
      <c r="A13" s="122">
        <v>9</v>
      </c>
      <c r="B13" s="43"/>
      <c r="C13" s="44"/>
      <c r="D13" s="59"/>
      <c r="E13" s="44"/>
      <c r="F13" s="45"/>
      <c r="G13" s="45"/>
      <c r="H13" s="45"/>
      <c r="I13" s="45"/>
      <c r="J13" s="45"/>
      <c r="K13" s="81"/>
      <c r="L13" s="95">
        <f t="shared" si="1"/>
        <v>0</v>
      </c>
      <c r="M13" s="96">
        <f t="shared" si="2"/>
        <v>0</v>
      </c>
      <c r="N13" s="94">
        <f t="shared" si="0"/>
        <v>0</v>
      </c>
      <c r="O13" s="91"/>
    </row>
    <row r="14" spans="1:15" ht="20.100000000000001" customHeight="1" x14ac:dyDescent="0.2">
      <c r="A14" s="122">
        <v>10</v>
      </c>
      <c r="B14" s="43"/>
      <c r="C14" s="44"/>
      <c r="D14" s="59"/>
      <c r="E14" s="44"/>
      <c r="F14" s="45"/>
      <c r="G14" s="45"/>
      <c r="H14" s="45"/>
      <c r="I14" s="45"/>
      <c r="J14" s="45"/>
      <c r="K14" s="81"/>
      <c r="L14" s="95">
        <f t="shared" si="1"/>
        <v>0</v>
      </c>
      <c r="M14" s="96">
        <f t="shared" si="2"/>
        <v>0</v>
      </c>
      <c r="N14" s="94">
        <f t="shared" si="0"/>
        <v>0</v>
      </c>
      <c r="O14" s="91"/>
    </row>
    <row r="15" spans="1:15" ht="20.100000000000001" customHeight="1" x14ac:dyDescent="0.2">
      <c r="A15" s="122">
        <v>11</v>
      </c>
      <c r="B15" s="43"/>
      <c r="C15" s="44"/>
      <c r="D15" s="59"/>
      <c r="E15" s="44"/>
      <c r="F15" s="45"/>
      <c r="G15" s="45"/>
      <c r="H15" s="45"/>
      <c r="I15" s="45"/>
      <c r="J15" s="45"/>
      <c r="K15" s="81"/>
      <c r="L15" s="95">
        <f t="shared" si="1"/>
        <v>0</v>
      </c>
      <c r="M15" s="96">
        <f t="shared" si="2"/>
        <v>0</v>
      </c>
      <c r="N15" s="94">
        <f t="shared" si="0"/>
        <v>0</v>
      </c>
      <c r="O15" s="91"/>
    </row>
    <row r="16" spans="1:15" ht="20.100000000000001" customHeight="1" x14ac:dyDescent="0.2">
      <c r="A16" s="122">
        <v>12</v>
      </c>
      <c r="B16" s="43"/>
      <c r="C16" s="44"/>
      <c r="D16" s="59"/>
      <c r="E16" s="44"/>
      <c r="F16" s="45"/>
      <c r="G16" s="45"/>
      <c r="H16" s="45"/>
      <c r="I16" s="45"/>
      <c r="J16" s="45"/>
      <c r="K16" s="81"/>
      <c r="L16" s="95">
        <f t="shared" si="1"/>
        <v>0</v>
      </c>
      <c r="M16" s="96">
        <f t="shared" si="2"/>
        <v>0</v>
      </c>
      <c r="N16" s="97">
        <f t="shared" si="0"/>
        <v>0</v>
      </c>
      <c r="O16" s="98"/>
    </row>
    <row r="17" spans="1:15" ht="20.100000000000001" customHeight="1" x14ac:dyDescent="0.2">
      <c r="A17" s="122">
        <v>13</v>
      </c>
      <c r="B17" s="43"/>
      <c r="C17" s="44"/>
      <c r="D17" s="59"/>
      <c r="E17" s="44"/>
      <c r="F17" s="45"/>
      <c r="G17" s="45"/>
      <c r="H17" s="45"/>
      <c r="I17" s="45"/>
      <c r="J17" s="45"/>
      <c r="K17" s="81"/>
      <c r="L17" s="95">
        <f t="shared" si="1"/>
        <v>0</v>
      </c>
      <c r="M17" s="96">
        <f t="shared" si="2"/>
        <v>0</v>
      </c>
      <c r="N17" s="97">
        <f t="shared" si="0"/>
        <v>0</v>
      </c>
      <c r="O17" s="98"/>
    </row>
    <row r="18" spans="1:15" ht="20.100000000000001" customHeight="1" x14ac:dyDescent="0.2">
      <c r="A18" s="122">
        <v>14</v>
      </c>
      <c r="B18" s="43"/>
      <c r="C18" s="44"/>
      <c r="D18" s="59"/>
      <c r="E18" s="44"/>
      <c r="F18" s="45"/>
      <c r="G18" s="45"/>
      <c r="H18" s="45"/>
      <c r="I18" s="45"/>
      <c r="J18" s="45"/>
      <c r="K18" s="81"/>
      <c r="L18" s="95">
        <f t="shared" si="1"/>
        <v>0</v>
      </c>
      <c r="M18" s="96">
        <f t="shared" si="2"/>
        <v>0</v>
      </c>
      <c r="N18" s="97">
        <f t="shared" si="0"/>
        <v>0</v>
      </c>
      <c r="O18" s="98"/>
    </row>
    <row r="19" spans="1:15" ht="20.100000000000001" customHeight="1" x14ac:dyDescent="0.2">
      <c r="A19" s="122">
        <v>15</v>
      </c>
      <c r="B19" s="43"/>
      <c r="C19" s="44"/>
      <c r="D19" s="59"/>
      <c r="E19" s="44"/>
      <c r="F19" s="45"/>
      <c r="G19" s="45"/>
      <c r="H19" s="45"/>
      <c r="I19" s="45"/>
      <c r="J19" s="45"/>
      <c r="K19" s="81"/>
      <c r="L19" s="95">
        <f t="shared" si="1"/>
        <v>0</v>
      </c>
      <c r="M19" s="96">
        <f t="shared" si="2"/>
        <v>0</v>
      </c>
      <c r="N19" s="94">
        <f t="shared" si="0"/>
        <v>0</v>
      </c>
      <c r="O19" s="91"/>
    </row>
    <row r="20" spans="1:15" ht="20.100000000000001" customHeight="1" x14ac:dyDescent="0.2">
      <c r="A20" s="122">
        <v>16</v>
      </c>
      <c r="B20" s="43"/>
      <c r="C20" s="44"/>
      <c r="D20" s="59"/>
      <c r="E20" s="44"/>
      <c r="F20" s="45"/>
      <c r="G20" s="45"/>
      <c r="H20" s="45"/>
      <c r="I20" s="45"/>
      <c r="J20" s="45"/>
      <c r="K20" s="81"/>
      <c r="L20" s="95">
        <f t="shared" si="1"/>
        <v>0</v>
      </c>
      <c r="M20" s="96">
        <f t="shared" si="2"/>
        <v>0</v>
      </c>
      <c r="N20" s="94">
        <f t="shared" si="0"/>
        <v>0</v>
      </c>
      <c r="O20" s="91"/>
    </row>
    <row r="21" spans="1:15" s="8" customFormat="1" ht="20.100000000000001" customHeight="1" x14ac:dyDescent="0.2">
      <c r="A21" s="122">
        <v>17</v>
      </c>
      <c r="B21" s="43"/>
      <c r="C21" s="44"/>
      <c r="D21" s="59"/>
      <c r="E21" s="44"/>
      <c r="F21" s="45"/>
      <c r="G21" s="45"/>
      <c r="H21" s="45"/>
      <c r="I21" s="45"/>
      <c r="J21" s="45"/>
      <c r="K21" s="81"/>
      <c r="L21" s="95">
        <f t="shared" si="1"/>
        <v>0</v>
      </c>
      <c r="M21" s="96">
        <f t="shared" si="2"/>
        <v>0</v>
      </c>
      <c r="N21" s="94">
        <f t="shared" si="0"/>
        <v>0</v>
      </c>
      <c r="O21" s="91"/>
    </row>
    <row r="22" spans="1:15" ht="20.100000000000001" customHeight="1" x14ac:dyDescent="0.2">
      <c r="A22" s="122">
        <v>18</v>
      </c>
      <c r="B22" s="43"/>
      <c r="C22" s="44"/>
      <c r="D22" s="59"/>
      <c r="E22" s="44"/>
      <c r="F22" s="45"/>
      <c r="G22" s="45"/>
      <c r="H22" s="45"/>
      <c r="I22" s="45"/>
      <c r="J22" s="45"/>
      <c r="K22" s="81"/>
      <c r="L22" s="95">
        <f t="shared" si="1"/>
        <v>0</v>
      </c>
      <c r="M22" s="96">
        <f t="shared" si="2"/>
        <v>0</v>
      </c>
      <c r="N22" s="94">
        <f t="shared" si="0"/>
        <v>0</v>
      </c>
      <c r="O22" s="91"/>
    </row>
    <row r="23" spans="1:15" ht="20.100000000000001" customHeight="1" x14ac:dyDescent="0.2">
      <c r="A23" s="122">
        <v>19</v>
      </c>
      <c r="B23" s="43"/>
      <c r="C23" s="44"/>
      <c r="D23" s="59"/>
      <c r="E23" s="44"/>
      <c r="F23" s="45"/>
      <c r="G23" s="45"/>
      <c r="H23" s="45"/>
      <c r="I23" s="45"/>
      <c r="J23" s="45"/>
      <c r="K23" s="81"/>
      <c r="L23" s="95">
        <f t="shared" si="1"/>
        <v>0</v>
      </c>
      <c r="M23" s="96">
        <f t="shared" si="2"/>
        <v>0</v>
      </c>
      <c r="N23" s="94">
        <f t="shared" si="0"/>
        <v>0</v>
      </c>
      <c r="O23" s="91"/>
    </row>
    <row r="24" spans="1:15" ht="20.100000000000001" customHeight="1" thickBot="1" x14ac:dyDescent="0.25">
      <c r="A24" s="122">
        <v>20</v>
      </c>
      <c r="B24" s="43"/>
      <c r="C24" s="44"/>
      <c r="D24" s="123"/>
      <c r="E24" s="44"/>
      <c r="F24" s="45"/>
      <c r="G24" s="58"/>
      <c r="H24" s="50"/>
      <c r="I24" s="50"/>
      <c r="J24" s="50"/>
      <c r="K24" s="82"/>
      <c r="L24" s="95">
        <f t="shared" si="1"/>
        <v>0</v>
      </c>
      <c r="M24" s="96">
        <f t="shared" si="2"/>
        <v>0</v>
      </c>
      <c r="N24" s="94">
        <f t="shared" si="0"/>
        <v>0</v>
      </c>
      <c r="O24" s="91"/>
    </row>
    <row r="25" spans="1:15" ht="20.100000000000001" customHeight="1" thickTop="1" thickBot="1" x14ac:dyDescent="0.25">
      <c r="A25" s="51" t="s">
        <v>0</v>
      </c>
      <c r="B25" s="52"/>
      <c r="C25" s="52"/>
      <c r="D25" s="53"/>
      <c r="E25" s="53"/>
      <c r="F25" s="53">
        <f>SUM(F5:F24)</f>
        <v>6370</v>
      </c>
      <c r="G25" s="53"/>
      <c r="H25" s="53"/>
      <c r="I25" s="53"/>
      <c r="J25" s="53"/>
      <c r="K25" s="54"/>
      <c r="L25" s="78">
        <f>SUM(L5:L24)</f>
        <v>34</v>
      </c>
      <c r="M25" s="53">
        <f>SUM(M5:M24)</f>
        <v>816</v>
      </c>
      <c r="N25" s="54">
        <f>F25/M25</f>
        <v>7.8063725490196081</v>
      </c>
      <c r="O25" s="66"/>
    </row>
    <row r="26" spans="1:15" ht="20.100000000000001" customHeight="1" thickTop="1" x14ac:dyDescent="0.2"/>
    <row r="27" spans="1:15" ht="20.100000000000001" customHeight="1" thickBot="1" x14ac:dyDescent="0.25"/>
    <row r="28" spans="1:15" ht="20.100000000000001" customHeight="1" thickTop="1" thickBot="1" x14ac:dyDescent="0.35">
      <c r="A28" s="12" t="s">
        <v>142</v>
      </c>
      <c r="B28" s="20"/>
      <c r="C28" s="20"/>
      <c r="D28" s="129" t="s">
        <v>152</v>
      </c>
      <c r="E28" s="133">
        <v>159000</v>
      </c>
      <c r="F28" s="133">
        <v>1800</v>
      </c>
      <c r="G28" s="134">
        <v>300</v>
      </c>
    </row>
    <row r="29" spans="1:15" ht="20.100000000000001" customHeight="1" thickTop="1" thickBot="1" x14ac:dyDescent="0.25">
      <c r="A29" s="51" t="s">
        <v>44</v>
      </c>
      <c r="B29" s="100" t="s">
        <v>48</v>
      </c>
      <c r="C29" s="100" t="s">
        <v>50</v>
      </c>
      <c r="D29" s="128" t="s">
        <v>49</v>
      </c>
      <c r="E29" s="128" t="s">
        <v>139</v>
      </c>
      <c r="F29" s="128" t="s">
        <v>140</v>
      </c>
      <c r="G29" s="128" t="s">
        <v>141</v>
      </c>
      <c r="H29" s="99" t="s">
        <v>131</v>
      </c>
      <c r="I29" s="99" t="s">
        <v>53</v>
      </c>
      <c r="J29" s="99" t="s">
        <v>132</v>
      </c>
      <c r="K29" s="101" t="s">
        <v>138</v>
      </c>
      <c r="L29" s="65"/>
      <c r="M29" s="65"/>
    </row>
    <row r="30" spans="1:15" ht="20.100000000000001" customHeight="1" thickTop="1" x14ac:dyDescent="0.2">
      <c r="A30" s="102">
        <f t="shared" ref="A30:A49" si="3">A5</f>
        <v>1</v>
      </c>
      <c r="B30" s="105">
        <f>IF($D5="","",L5)</f>
        <v>9.0625</v>
      </c>
      <c r="C30" s="105">
        <f>IF($D5="","",M5)</f>
        <v>217.5</v>
      </c>
      <c r="D30" s="105">
        <f>IF($D5="","",N5)</f>
        <v>11.291954022988506</v>
      </c>
      <c r="E30" s="106">
        <f>IF($D5="","",G5*$L5)</f>
        <v>906.25</v>
      </c>
      <c r="F30" s="106">
        <f>IF($D5="","",H5*$L5)</f>
        <v>9.0625</v>
      </c>
      <c r="G30" s="106">
        <f>IF($D5="","",I5*$L5)</f>
        <v>90.625</v>
      </c>
      <c r="H30" s="106">
        <f>IF($D5="","",J5*$L5)</f>
        <v>1268.75</v>
      </c>
      <c r="I30" s="106">
        <f>IF($D5="","",K5*$L5)</f>
        <v>271.875</v>
      </c>
      <c r="J30" s="106">
        <f>IF($D5="","",H30+I30)</f>
        <v>1540.625</v>
      </c>
      <c r="K30" s="107">
        <f>IF($D5="","",IF(J30-E30&lt;0,0,J30-E30))</f>
        <v>634.375</v>
      </c>
      <c r="L30" s="67"/>
      <c r="M30" s="67"/>
    </row>
    <row r="31" spans="1:15" ht="20.100000000000001" customHeight="1" x14ac:dyDescent="0.2">
      <c r="A31" s="102">
        <f t="shared" si="3"/>
        <v>2</v>
      </c>
      <c r="B31" s="108">
        <f t="shared" ref="B31:D31" si="4">IF($D6="","",L6)</f>
        <v>0.10416666666424135</v>
      </c>
      <c r="C31" s="108">
        <f t="shared" si="4"/>
        <v>2.4999999999417923</v>
      </c>
      <c r="D31" s="108">
        <f t="shared" si="4"/>
        <v>12.000000000279396</v>
      </c>
      <c r="E31" s="109">
        <f t="shared" ref="E31:I31" si="5">IF($D6="","",G6*$L6)</f>
        <v>0</v>
      </c>
      <c r="F31" s="109">
        <f t="shared" si="5"/>
        <v>4.1666666665696539</v>
      </c>
      <c r="G31" s="109">
        <f t="shared" si="5"/>
        <v>0</v>
      </c>
      <c r="H31" s="109">
        <f t="shared" si="5"/>
        <v>14.583333332993789</v>
      </c>
      <c r="I31" s="109">
        <f t="shared" si="5"/>
        <v>0</v>
      </c>
      <c r="J31" s="109">
        <f t="shared" ref="J31:J49" si="6">IF($D6="","",H31+I31)</f>
        <v>14.583333332993789</v>
      </c>
      <c r="K31" s="110">
        <f t="shared" ref="K31:K49" si="7">IF($D6="","",IF(J31-E31&lt;0,0,J31-E31))</f>
        <v>14.583333332993789</v>
      </c>
      <c r="L31" s="67"/>
      <c r="M31" s="67"/>
    </row>
    <row r="32" spans="1:15" ht="20.100000000000001" customHeight="1" x14ac:dyDescent="0.2">
      <c r="A32" s="102">
        <f t="shared" si="3"/>
        <v>3</v>
      </c>
      <c r="B32" s="108">
        <f t="shared" ref="B32:D32" si="8">IF($D7="","",L7)</f>
        <v>1</v>
      </c>
      <c r="C32" s="108">
        <f t="shared" si="8"/>
        <v>24</v>
      </c>
      <c r="D32" s="108">
        <f t="shared" si="8"/>
        <v>1</v>
      </c>
      <c r="E32" s="109">
        <f t="shared" ref="E32:I32" si="9">IF($D7="","",G7*$L7)</f>
        <v>50</v>
      </c>
      <c r="F32" s="109">
        <f t="shared" si="9"/>
        <v>1</v>
      </c>
      <c r="G32" s="109">
        <f t="shared" si="9"/>
        <v>0</v>
      </c>
      <c r="H32" s="109">
        <f t="shared" si="9"/>
        <v>140</v>
      </c>
      <c r="I32" s="109">
        <f t="shared" si="9"/>
        <v>0</v>
      </c>
      <c r="J32" s="109">
        <f t="shared" si="6"/>
        <v>140</v>
      </c>
      <c r="K32" s="110">
        <f t="shared" si="7"/>
        <v>90</v>
      </c>
      <c r="L32" s="67"/>
      <c r="M32" s="67"/>
    </row>
    <row r="33" spans="1:13" ht="20.100000000000001" customHeight="1" x14ac:dyDescent="0.2">
      <c r="A33" s="102">
        <f t="shared" si="3"/>
        <v>4</v>
      </c>
      <c r="B33" s="108">
        <f t="shared" ref="B33:D33" si="10">IF($D8="","",L8)</f>
        <v>8.3333333335758653E-2</v>
      </c>
      <c r="C33" s="108">
        <f t="shared" si="10"/>
        <v>2.0000000000582077</v>
      </c>
      <c r="D33" s="108">
        <f t="shared" si="10"/>
        <v>14.999999999563443</v>
      </c>
      <c r="E33" s="109">
        <f t="shared" ref="E33:I33" si="11">IF($D8="","",G8*$L8)</f>
        <v>0</v>
      </c>
      <c r="F33" s="109">
        <f t="shared" si="11"/>
        <v>3.3333333334303461</v>
      </c>
      <c r="G33" s="109">
        <f t="shared" si="11"/>
        <v>0</v>
      </c>
      <c r="H33" s="109">
        <f t="shared" si="11"/>
        <v>11.666666667006211</v>
      </c>
      <c r="I33" s="109">
        <f t="shared" si="11"/>
        <v>0</v>
      </c>
      <c r="J33" s="109">
        <f t="shared" si="6"/>
        <v>11.666666667006211</v>
      </c>
      <c r="K33" s="110">
        <f t="shared" si="7"/>
        <v>11.666666667006211</v>
      </c>
      <c r="L33" s="67"/>
      <c r="M33" s="67"/>
    </row>
    <row r="34" spans="1:13" ht="20.100000000000001" customHeight="1" x14ac:dyDescent="0.2">
      <c r="A34" s="102">
        <f t="shared" si="3"/>
        <v>5</v>
      </c>
      <c r="B34" s="108">
        <f t="shared" ref="B34:D34" si="12">IF($D9="","",L9)</f>
        <v>22.250694444446708</v>
      </c>
      <c r="C34" s="108">
        <f t="shared" si="12"/>
        <v>534.01666666672099</v>
      </c>
      <c r="D34" s="108">
        <f t="shared" si="12"/>
        <v>7.0409787459809943</v>
      </c>
      <c r="E34" s="109">
        <f t="shared" ref="E34:I34" si="13">IF($D9="","",G9*$L9)</f>
        <v>2225.0694444446708</v>
      </c>
      <c r="F34" s="109">
        <f t="shared" si="13"/>
        <v>22.250694444446708</v>
      </c>
      <c r="G34" s="109">
        <f t="shared" si="13"/>
        <v>0</v>
      </c>
      <c r="H34" s="109">
        <f t="shared" si="13"/>
        <v>3115.0972222225391</v>
      </c>
      <c r="I34" s="109">
        <f t="shared" si="13"/>
        <v>445.01388888893416</v>
      </c>
      <c r="J34" s="109">
        <f t="shared" si="6"/>
        <v>3560.1111111114733</v>
      </c>
      <c r="K34" s="110">
        <f t="shared" si="7"/>
        <v>1335.0416666668025</v>
      </c>
      <c r="L34" s="67"/>
      <c r="M34" s="67"/>
    </row>
    <row r="35" spans="1:13" ht="20.100000000000001" customHeight="1" x14ac:dyDescent="0.2">
      <c r="A35" s="102">
        <f t="shared" si="3"/>
        <v>6</v>
      </c>
      <c r="B35" s="108">
        <f t="shared" ref="B35:D35" si="14">IF($D10="","",L10)</f>
        <v>0.24930555555329192</v>
      </c>
      <c r="C35" s="108">
        <f t="shared" si="14"/>
        <v>5.9833333332790062</v>
      </c>
      <c r="D35" s="108">
        <f t="shared" si="14"/>
        <v>6.6852367688629286</v>
      </c>
      <c r="E35" s="109">
        <f t="shared" ref="E35:I35" si="15">IF($D10="","",G10*$L10)</f>
        <v>0</v>
      </c>
      <c r="F35" s="109">
        <f t="shared" si="15"/>
        <v>9.972222222131677</v>
      </c>
      <c r="G35" s="109">
        <f t="shared" si="15"/>
        <v>0</v>
      </c>
      <c r="H35" s="109">
        <f t="shared" si="15"/>
        <v>34.902777777460869</v>
      </c>
      <c r="I35" s="109">
        <f t="shared" si="15"/>
        <v>0</v>
      </c>
      <c r="J35" s="109">
        <f t="shared" si="6"/>
        <v>34.902777777460869</v>
      </c>
      <c r="K35" s="110">
        <f t="shared" si="7"/>
        <v>34.902777777460869</v>
      </c>
      <c r="L35" s="67"/>
      <c r="M35" s="67"/>
    </row>
    <row r="36" spans="1:13" ht="20.100000000000001" customHeight="1" x14ac:dyDescent="0.2">
      <c r="A36" s="102">
        <f t="shared" si="3"/>
        <v>7</v>
      </c>
      <c r="B36" s="108">
        <f t="shared" ref="B36:D36" si="16">IF($D11="","",L11)</f>
        <v>1.25</v>
      </c>
      <c r="C36" s="108">
        <f t="shared" si="16"/>
        <v>30</v>
      </c>
      <c r="D36" s="108">
        <f t="shared" si="16"/>
        <v>1</v>
      </c>
      <c r="E36" s="109">
        <f t="shared" ref="E36:I36" si="17">IF($D11="","",G11*$L11)</f>
        <v>0</v>
      </c>
      <c r="F36" s="109">
        <f t="shared" si="17"/>
        <v>53.75</v>
      </c>
      <c r="G36" s="109">
        <f t="shared" si="17"/>
        <v>0</v>
      </c>
      <c r="H36" s="109">
        <f t="shared" si="17"/>
        <v>175</v>
      </c>
      <c r="I36" s="109">
        <f t="shared" si="17"/>
        <v>0</v>
      </c>
      <c r="J36" s="109">
        <f t="shared" si="6"/>
        <v>175</v>
      </c>
      <c r="K36" s="110">
        <f t="shared" si="7"/>
        <v>175</v>
      </c>
      <c r="L36" s="67"/>
      <c r="M36" s="67"/>
    </row>
    <row r="37" spans="1:13" ht="20.100000000000001" customHeight="1" x14ac:dyDescent="0.2">
      <c r="A37" s="102">
        <f t="shared" si="3"/>
        <v>8</v>
      </c>
      <c r="B37" s="108" t="str">
        <f t="shared" ref="B37:D37" si="18">IF($D12="","",L12)</f>
        <v/>
      </c>
      <c r="C37" s="108" t="str">
        <f t="shared" si="18"/>
        <v/>
      </c>
      <c r="D37" s="108" t="str">
        <f t="shared" si="18"/>
        <v/>
      </c>
      <c r="E37" s="109" t="str">
        <f t="shared" ref="E37:I37" si="19">IF($D12="","",G12*$L12)</f>
        <v/>
      </c>
      <c r="F37" s="109" t="str">
        <f t="shared" si="19"/>
        <v/>
      </c>
      <c r="G37" s="109" t="str">
        <f t="shared" si="19"/>
        <v/>
      </c>
      <c r="H37" s="109" t="str">
        <f t="shared" si="19"/>
        <v/>
      </c>
      <c r="I37" s="109" t="str">
        <f t="shared" si="19"/>
        <v/>
      </c>
      <c r="J37" s="109" t="str">
        <f t="shared" si="6"/>
        <v/>
      </c>
      <c r="K37" s="110" t="str">
        <f t="shared" si="7"/>
        <v/>
      </c>
      <c r="L37" s="67"/>
      <c r="M37" s="67"/>
    </row>
    <row r="38" spans="1:13" ht="20.100000000000001" customHeight="1" x14ac:dyDescent="0.2">
      <c r="A38" s="102">
        <f t="shared" si="3"/>
        <v>9</v>
      </c>
      <c r="B38" s="108" t="str">
        <f t="shared" ref="B38:D38" si="20">IF($D13="","",L13)</f>
        <v/>
      </c>
      <c r="C38" s="108" t="str">
        <f t="shared" si="20"/>
        <v/>
      </c>
      <c r="D38" s="108" t="str">
        <f t="shared" si="20"/>
        <v/>
      </c>
      <c r="E38" s="109" t="str">
        <f t="shared" ref="E38:I38" si="21">IF($D13="","",G13*$L13)</f>
        <v/>
      </c>
      <c r="F38" s="109" t="str">
        <f t="shared" si="21"/>
        <v/>
      </c>
      <c r="G38" s="109" t="str">
        <f t="shared" si="21"/>
        <v/>
      </c>
      <c r="H38" s="109" t="str">
        <f t="shared" si="21"/>
        <v/>
      </c>
      <c r="I38" s="109" t="str">
        <f t="shared" si="21"/>
        <v/>
      </c>
      <c r="J38" s="109" t="str">
        <f t="shared" si="6"/>
        <v/>
      </c>
      <c r="K38" s="110" t="str">
        <f t="shared" si="7"/>
        <v/>
      </c>
      <c r="L38" s="67"/>
      <c r="M38" s="67"/>
    </row>
    <row r="39" spans="1:13" ht="20.100000000000001" customHeight="1" x14ac:dyDescent="0.2">
      <c r="A39" s="102">
        <f t="shared" si="3"/>
        <v>10</v>
      </c>
      <c r="B39" s="108" t="str">
        <f t="shared" ref="B39:D39" si="22">IF($D14="","",L14)</f>
        <v/>
      </c>
      <c r="C39" s="108" t="str">
        <f t="shared" si="22"/>
        <v/>
      </c>
      <c r="D39" s="108" t="str">
        <f t="shared" si="22"/>
        <v/>
      </c>
      <c r="E39" s="109" t="str">
        <f t="shared" ref="E39:I39" si="23">IF($D14="","",G14*$L14)</f>
        <v/>
      </c>
      <c r="F39" s="109" t="str">
        <f t="shared" si="23"/>
        <v/>
      </c>
      <c r="G39" s="109" t="str">
        <f t="shared" si="23"/>
        <v/>
      </c>
      <c r="H39" s="109" t="str">
        <f t="shared" si="23"/>
        <v/>
      </c>
      <c r="I39" s="109" t="str">
        <f t="shared" si="23"/>
        <v/>
      </c>
      <c r="J39" s="109" t="str">
        <f t="shared" si="6"/>
        <v/>
      </c>
      <c r="K39" s="110" t="str">
        <f t="shared" si="7"/>
        <v/>
      </c>
      <c r="L39" s="67"/>
      <c r="M39" s="67"/>
    </row>
    <row r="40" spans="1:13" ht="20.100000000000001" customHeight="1" x14ac:dyDescent="0.2">
      <c r="A40" s="102">
        <f t="shared" si="3"/>
        <v>11</v>
      </c>
      <c r="B40" s="108" t="str">
        <f t="shared" ref="B40:D40" si="24">IF($D15="","",L15)</f>
        <v/>
      </c>
      <c r="C40" s="108" t="str">
        <f t="shared" si="24"/>
        <v/>
      </c>
      <c r="D40" s="108" t="str">
        <f t="shared" si="24"/>
        <v/>
      </c>
      <c r="E40" s="109" t="str">
        <f t="shared" ref="E40:I40" si="25">IF($D15="","",G15*$L15)</f>
        <v/>
      </c>
      <c r="F40" s="109" t="str">
        <f t="shared" si="25"/>
        <v/>
      </c>
      <c r="G40" s="109" t="str">
        <f t="shared" si="25"/>
        <v/>
      </c>
      <c r="H40" s="109" t="str">
        <f t="shared" si="25"/>
        <v/>
      </c>
      <c r="I40" s="109" t="str">
        <f t="shared" si="25"/>
        <v/>
      </c>
      <c r="J40" s="109" t="str">
        <f t="shared" si="6"/>
        <v/>
      </c>
      <c r="K40" s="110" t="str">
        <f t="shared" si="7"/>
        <v/>
      </c>
      <c r="L40" s="67"/>
      <c r="M40" s="67"/>
    </row>
    <row r="41" spans="1:13" ht="20.100000000000001" customHeight="1" x14ac:dyDescent="0.2">
      <c r="A41" s="102">
        <f t="shared" si="3"/>
        <v>12</v>
      </c>
      <c r="B41" s="108" t="str">
        <f t="shared" ref="B41:D41" si="26">IF($D16="","",L16)</f>
        <v/>
      </c>
      <c r="C41" s="108" t="str">
        <f t="shared" si="26"/>
        <v/>
      </c>
      <c r="D41" s="108" t="str">
        <f t="shared" si="26"/>
        <v/>
      </c>
      <c r="E41" s="109" t="str">
        <f t="shared" ref="E41:I41" si="27">IF($D16="","",G16*$L16)</f>
        <v/>
      </c>
      <c r="F41" s="109" t="str">
        <f t="shared" si="27"/>
        <v/>
      </c>
      <c r="G41" s="109" t="str">
        <f t="shared" si="27"/>
        <v/>
      </c>
      <c r="H41" s="109" t="str">
        <f t="shared" si="27"/>
        <v/>
      </c>
      <c r="I41" s="109" t="str">
        <f t="shared" si="27"/>
        <v/>
      </c>
      <c r="J41" s="109" t="str">
        <f t="shared" si="6"/>
        <v/>
      </c>
      <c r="K41" s="110" t="str">
        <f t="shared" si="7"/>
        <v/>
      </c>
      <c r="L41" s="67"/>
      <c r="M41" s="67"/>
    </row>
    <row r="42" spans="1:13" ht="20.100000000000001" customHeight="1" x14ac:dyDescent="0.2">
      <c r="A42" s="102">
        <f t="shared" si="3"/>
        <v>13</v>
      </c>
      <c r="B42" s="108" t="str">
        <f t="shared" ref="B42:D42" si="28">IF($D17="","",L17)</f>
        <v/>
      </c>
      <c r="C42" s="108" t="str">
        <f t="shared" si="28"/>
        <v/>
      </c>
      <c r="D42" s="108" t="str">
        <f t="shared" si="28"/>
        <v/>
      </c>
      <c r="E42" s="109" t="str">
        <f t="shared" ref="E42:I42" si="29">IF($D17="","",G17*$L17)</f>
        <v/>
      </c>
      <c r="F42" s="109" t="str">
        <f t="shared" si="29"/>
        <v/>
      </c>
      <c r="G42" s="109" t="str">
        <f t="shared" si="29"/>
        <v/>
      </c>
      <c r="H42" s="109" t="str">
        <f t="shared" si="29"/>
        <v/>
      </c>
      <c r="I42" s="109" t="str">
        <f t="shared" si="29"/>
        <v/>
      </c>
      <c r="J42" s="109" t="str">
        <f t="shared" si="6"/>
        <v/>
      </c>
      <c r="K42" s="110" t="str">
        <f t="shared" si="7"/>
        <v/>
      </c>
      <c r="L42" s="67"/>
      <c r="M42" s="67"/>
    </row>
    <row r="43" spans="1:13" ht="20.100000000000001" customHeight="1" x14ac:dyDescent="0.2">
      <c r="A43" s="102">
        <f t="shared" si="3"/>
        <v>14</v>
      </c>
      <c r="B43" s="108" t="str">
        <f t="shared" ref="B43:D43" si="30">IF($D18="","",L18)</f>
        <v/>
      </c>
      <c r="C43" s="108" t="str">
        <f t="shared" si="30"/>
        <v/>
      </c>
      <c r="D43" s="108" t="str">
        <f t="shared" si="30"/>
        <v/>
      </c>
      <c r="E43" s="109" t="str">
        <f t="shared" ref="E43:I43" si="31">IF($D18="","",G18*$L18)</f>
        <v/>
      </c>
      <c r="F43" s="109" t="str">
        <f t="shared" si="31"/>
        <v/>
      </c>
      <c r="G43" s="109" t="str">
        <f t="shared" si="31"/>
        <v/>
      </c>
      <c r="H43" s="109" t="str">
        <f t="shared" si="31"/>
        <v/>
      </c>
      <c r="I43" s="109" t="str">
        <f t="shared" si="31"/>
        <v/>
      </c>
      <c r="J43" s="109" t="str">
        <f t="shared" si="6"/>
        <v/>
      </c>
      <c r="K43" s="110" t="str">
        <f t="shared" si="7"/>
        <v/>
      </c>
      <c r="L43" s="67"/>
      <c r="M43" s="67"/>
    </row>
    <row r="44" spans="1:13" ht="20.100000000000001" customHeight="1" x14ac:dyDescent="0.2">
      <c r="A44" s="102">
        <f t="shared" si="3"/>
        <v>15</v>
      </c>
      <c r="B44" s="108" t="str">
        <f t="shared" ref="B44:D44" si="32">IF($D19="","",L19)</f>
        <v/>
      </c>
      <c r="C44" s="108" t="str">
        <f t="shared" si="32"/>
        <v/>
      </c>
      <c r="D44" s="108" t="str">
        <f t="shared" si="32"/>
        <v/>
      </c>
      <c r="E44" s="109" t="str">
        <f t="shared" ref="E44:I44" si="33">IF($D19="","",G19*$L19)</f>
        <v/>
      </c>
      <c r="F44" s="109" t="str">
        <f t="shared" si="33"/>
        <v/>
      </c>
      <c r="G44" s="109" t="str">
        <f t="shared" si="33"/>
        <v/>
      </c>
      <c r="H44" s="109" t="str">
        <f t="shared" si="33"/>
        <v/>
      </c>
      <c r="I44" s="109" t="str">
        <f t="shared" si="33"/>
        <v/>
      </c>
      <c r="J44" s="109" t="str">
        <f t="shared" si="6"/>
        <v/>
      </c>
      <c r="K44" s="110" t="str">
        <f t="shared" si="7"/>
        <v/>
      </c>
      <c r="L44" s="67"/>
      <c r="M44" s="67"/>
    </row>
    <row r="45" spans="1:13" ht="20.100000000000001" customHeight="1" x14ac:dyDescent="0.2">
      <c r="A45" s="102">
        <f t="shared" si="3"/>
        <v>16</v>
      </c>
      <c r="B45" s="108" t="str">
        <f t="shared" ref="B45:D45" si="34">IF($D20="","",L20)</f>
        <v/>
      </c>
      <c r="C45" s="108" t="str">
        <f t="shared" si="34"/>
        <v/>
      </c>
      <c r="D45" s="108" t="str">
        <f t="shared" si="34"/>
        <v/>
      </c>
      <c r="E45" s="109" t="str">
        <f t="shared" ref="E45:I45" si="35">IF($D20="","",G20*$L20)</f>
        <v/>
      </c>
      <c r="F45" s="109" t="str">
        <f t="shared" si="35"/>
        <v/>
      </c>
      <c r="G45" s="109" t="str">
        <f t="shared" si="35"/>
        <v/>
      </c>
      <c r="H45" s="109" t="str">
        <f t="shared" si="35"/>
        <v/>
      </c>
      <c r="I45" s="109" t="str">
        <f t="shared" si="35"/>
        <v/>
      </c>
      <c r="J45" s="109" t="str">
        <f t="shared" si="6"/>
        <v/>
      </c>
      <c r="K45" s="110" t="str">
        <f t="shared" si="7"/>
        <v/>
      </c>
      <c r="L45" s="67"/>
      <c r="M45" s="67"/>
    </row>
    <row r="46" spans="1:13" ht="20.100000000000001" customHeight="1" x14ac:dyDescent="0.2">
      <c r="A46" s="102">
        <f t="shared" si="3"/>
        <v>17</v>
      </c>
      <c r="B46" s="108" t="str">
        <f t="shared" ref="B46:D46" si="36">IF($D21="","",L21)</f>
        <v/>
      </c>
      <c r="C46" s="108" t="str">
        <f t="shared" si="36"/>
        <v/>
      </c>
      <c r="D46" s="108" t="str">
        <f t="shared" si="36"/>
        <v/>
      </c>
      <c r="E46" s="109" t="str">
        <f t="shared" ref="E46:I46" si="37">IF($D21="","",G21*$L21)</f>
        <v/>
      </c>
      <c r="F46" s="109" t="str">
        <f t="shared" si="37"/>
        <v/>
      </c>
      <c r="G46" s="109" t="str">
        <f t="shared" si="37"/>
        <v/>
      </c>
      <c r="H46" s="109" t="str">
        <f t="shared" si="37"/>
        <v/>
      </c>
      <c r="I46" s="109" t="str">
        <f t="shared" si="37"/>
        <v/>
      </c>
      <c r="J46" s="109" t="str">
        <f t="shared" si="6"/>
        <v/>
      </c>
      <c r="K46" s="110" t="str">
        <f t="shared" si="7"/>
        <v/>
      </c>
      <c r="L46" s="67"/>
      <c r="M46" s="67"/>
    </row>
    <row r="47" spans="1:13" ht="20.100000000000001" customHeight="1" x14ac:dyDescent="0.2">
      <c r="A47" s="102">
        <f t="shared" si="3"/>
        <v>18</v>
      </c>
      <c r="B47" s="108" t="str">
        <f t="shared" ref="B47:D47" si="38">IF($D22="","",L22)</f>
        <v/>
      </c>
      <c r="C47" s="108" t="str">
        <f t="shared" si="38"/>
        <v/>
      </c>
      <c r="D47" s="108" t="str">
        <f t="shared" si="38"/>
        <v/>
      </c>
      <c r="E47" s="109" t="str">
        <f t="shared" ref="E47:I47" si="39">IF($D22="","",G22*$L22)</f>
        <v/>
      </c>
      <c r="F47" s="109" t="str">
        <f t="shared" si="39"/>
        <v/>
      </c>
      <c r="G47" s="109" t="str">
        <f t="shared" si="39"/>
        <v/>
      </c>
      <c r="H47" s="109" t="str">
        <f t="shared" si="39"/>
        <v/>
      </c>
      <c r="I47" s="109" t="str">
        <f t="shared" si="39"/>
        <v/>
      </c>
      <c r="J47" s="109" t="str">
        <f t="shared" si="6"/>
        <v/>
      </c>
      <c r="K47" s="110" t="str">
        <f t="shared" si="7"/>
        <v/>
      </c>
      <c r="L47" s="67"/>
      <c r="M47" s="67"/>
    </row>
    <row r="48" spans="1:13" ht="20.100000000000001" customHeight="1" x14ac:dyDescent="0.2">
      <c r="A48" s="102">
        <f t="shared" si="3"/>
        <v>19</v>
      </c>
      <c r="B48" s="108" t="str">
        <f t="shared" ref="B48:D48" si="40">IF($D23="","",L23)</f>
        <v/>
      </c>
      <c r="C48" s="108" t="str">
        <f t="shared" si="40"/>
        <v/>
      </c>
      <c r="D48" s="108" t="str">
        <f t="shared" si="40"/>
        <v/>
      </c>
      <c r="E48" s="109" t="str">
        <f t="shared" ref="E48:I48" si="41">IF($D23="","",G23*$L23)</f>
        <v/>
      </c>
      <c r="F48" s="109" t="str">
        <f t="shared" si="41"/>
        <v/>
      </c>
      <c r="G48" s="109" t="str">
        <f t="shared" si="41"/>
        <v/>
      </c>
      <c r="H48" s="109" t="str">
        <f t="shared" si="41"/>
        <v/>
      </c>
      <c r="I48" s="109" t="str">
        <f t="shared" si="41"/>
        <v/>
      </c>
      <c r="J48" s="109" t="str">
        <f t="shared" si="6"/>
        <v/>
      </c>
      <c r="K48" s="110" t="str">
        <f t="shared" si="7"/>
        <v/>
      </c>
      <c r="L48" s="67"/>
      <c r="M48" s="67"/>
    </row>
    <row r="49" spans="1:13" ht="20.100000000000001" customHeight="1" thickBot="1" x14ac:dyDescent="0.25">
      <c r="A49" s="120">
        <f t="shared" si="3"/>
        <v>20</v>
      </c>
      <c r="B49" s="111" t="str">
        <f t="shared" ref="B49:D49" si="42">IF($D24="","",L24)</f>
        <v/>
      </c>
      <c r="C49" s="111" t="str">
        <f t="shared" si="42"/>
        <v/>
      </c>
      <c r="D49" s="111" t="str">
        <f t="shared" si="42"/>
        <v/>
      </c>
      <c r="E49" s="112" t="str">
        <f t="shared" ref="E49:I49" si="43">IF($D24="","",G24*$L24)</f>
        <v/>
      </c>
      <c r="F49" s="112" t="str">
        <f t="shared" si="43"/>
        <v/>
      </c>
      <c r="G49" s="112" t="str">
        <f t="shared" si="43"/>
        <v/>
      </c>
      <c r="H49" s="112" t="str">
        <f t="shared" si="43"/>
        <v/>
      </c>
      <c r="I49" s="112" t="str">
        <f t="shared" si="43"/>
        <v/>
      </c>
      <c r="J49" s="112" t="str">
        <f t="shared" si="6"/>
        <v/>
      </c>
      <c r="K49" s="113" t="str">
        <f t="shared" si="7"/>
        <v/>
      </c>
      <c r="L49" s="67"/>
      <c r="M49" s="67"/>
    </row>
    <row r="50" spans="1:13" ht="20.100000000000001" customHeight="1" thickTop="1" thickBot="1" x14ac:dyDescent="0.25">
      <c r="A50" s="51" t="s">
        <v>0</v>
      </c>
      <c r="B50" s="73">
        <f t="shared" ref="B50:C50" si="44">SUM(B30:B49)</f>
        <v>34</v>
      </c>
      <c r="C50" s="73">
        <f t="shared" si="44"/>
        <v>816</v>
      </c>
      <c r="D50" s="130">
        <f>F25/M25</f>
        <v>7.8063725490196081</v>
      </c>
      <c r="E50" s="130">
        <f>SUM(E30:E49)</f>
        <v>3181.3194444446708</v>
      </c>
      <c r="F50" s="130">
        <f t="shared" ref="F50:K50" si="45">SUM(F30:F49)</f>
        <v>103.53541666657839</v>
      </c>
      <c r="G50" s="130">
        <f t="shared" si="45"/>
        <v>90.625</v>
      </c>
      <c r="H50" s="73">
        <f t="shared" si="45"/>
        <v>4760</v>
      </c>
      <c r="I50" s="73">
        <f t="shared" si="45"/>
        <v>716.88888888893416</v>
      </c>
      <c r="J50" s="73">
        <f t="shared" si="45"/>
        <v>5476.8888888889342</v>
      </c>
      <c r="K50" s="74">
        <f t="shared" si="45"/>
        <v>2295.5694444442634</v>
      </c>
      <c r="L50" s="68"/>
      <c r="M50" s="68"/>
    </row>
    <row r="51" spans="1:13" ht="20.100000000000001" customHeight="1" thickTop="1" thickBot="1" x14ac:dyDescent="0.25">
      <c r="D51" s="46" t="s">
        <v>153</v>
      </c>
      <c r="E51" s="131">
        <f>E28-E50</f>
        <v>155818.68055555533</v>
      </c>
      <c r="F51" s="131">
        <f t="shared" ref="F51:G51" si="46">F28-F50</f>
        <v>1696.4645833334216</v>
      </c>
      <c r="G51" s="114">
        <f t="shared" si="46"/>
        <v>209.375</v>
      </c>
    </row>
    <row r="52" spans="1:13" ht="20.100000000000001" customHeight="1" thickTop="1" x14ac:dyDescent="0.2"/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6ED"/>
  </sheetPr>
  <dimension ref="A1:P52"/>
  <sheetViews>
    <sheetView showGridLines="0" workbookViewId="0">
      <pane ySplit="1" topLeftCell="A2" activePane="bottomLeft" state="frozen"/>
      <selection pane="bottomLeft" activeCell="A3" sqref="A3"/>
    </sheetView>
  </sheetViews>
  <sheetFormatPr defaultColWidth="8.85546875" defaultRowHeight="20.100000000000001" customHeight="1" x14ac:dyDescent="0.2"/>
  <cols>
    <col min="1" max="1" width="30.7109375" style="1" customWidth="1"/>
    <col min="2" max="12" width="20.7109375" style="1" customWidth="1"/>
    <col min="13" max="15" width="20.7109375" style="1" hidden="1" customWidth="1"/>
    <col min="16" max="23" width="20.7109375" style="1" customWidth="1"/>
    <col min="24" max="214" width="8.85546875" style="1"/>
    <col min="215" max="215" width="11.85546875" style="1" customWidth="1"/>
    <col min="216" max="216" width="15" style="1" customWidth="1"/>
    <col min="217" max="217" width="12.85546875" style="1" customWidth="1"/>
    <col min="218" max="218" width="13.5703125" style="1" customWidth="1"/>
    <col min="219" max="219" width="14.140625" style="1" customWidth="1"/>
    <col min="220" max="220" width="12.5703125" style="1" customWidth="1"/>
    <col min="221" max="221" width="13.28515625" style="1" customWidth="1"/>
    <col min="222" max="470" width="8.85546875" style="1"/>
    <col min="471" max="471" width="11.85546875" style="1" customWidth="1"/>
    <col min="472" max="472" width="15" style="1" customWidth="1"/>
    <col min="473" max="473" width="12.85546875" style="1" customWidth="1"/>
    <col min="474" max="474" width="13.5703125" style="1" customWidth="1"/>
    <col min="475" max="475" width="14.140625" style="1" customWidth="1"/>
    <col min="476" max="476" width="12.5703125" style="1" customWidth="1"/>
    <col min="477" max="477" width="13.28515625" style="1" customWidth="1"/>
    <col min="478" max="726" width="8.85546875" style="1"/>
    <col min="727" max="727" width="11.85546875" style="1" customWidth="1"/>
    <col min="728" max="728" width="15" style="1" customWidth="1"/>
    <col min="729" max="729" width="12.85546875" style="1" customWidth="1"/>
    <col min="730" max="730" width="13.5703125" style="1" customWidth="1"/>
    <col min="731" max="731" width="14.140625" style="1" customWidth="1"/>
    <col min="732" max="732" width="12.5703125" style="1" customWidth="1"/>
    <col min="733" max="733" width="13.28515625" style="1" customWidth="1"/>
    <col min="734" max="982" width="8.85546875" style="1"/>
    <col min="983" max="983" width="11.85546875" style="1" customWidth="1"/>
    <col min="984" max="984" width="15" style="1" customWidth="1"/>
    <col min="985" max="985" width="12.85546875" style="1" customWidth="1"/>
    <col min="986" max="986" width="13.5703125" style="1" customWidth="1"/>
    <col min="987" max="987" width="14.140625" style="1" customWidth="1"/>
    <col min="988" max="988" width="12.5703125" style="1" customWidth="1"/>
    <col min="989" max="989" width="13.28515625" style="1" customWidth="1"/>
    <col min="990" max="1238" width="8.85546875" style="1"/>
    <col min="1239" max="1239" width="11.85546875" style="1" customWidth="1"/>
    <col min="1240" max="1240" width="15" style="1" customWidth="1"/>
    <col min="1241" max="1241" width="12.85546875" style="1" customWidth="1"/>
    <col min="1242" max="1242" width="13.5703125" style="1" customWidth="1"/>
    <col min="1243" max="1243" width="14.140625" style="1" customWidth="1"/>
    <col min="1244" max="1244" width="12.5703125" style="1" customWidth="1"/>
    <col min="1245" max="1245" width="13.28515625" style="1" customWidth="1"/>
    <col min="1246" max="1494" width="8.85546875" style="1"/>
    <col min="1495" max="1495" width="11.85546875" style="1" customWidth="1"/>
    <col min="1496" max="1496" width="15" style="1" customWidth="1"/>
    <col min="1497" max="1497" width="12.85546875" style="1" customWidth="1"/>
    <col min="1498" max="1498" width="13.5703125" style="1" customWidth="1"/>
    <col min="1499" max="1499" width="14.140625" style="1" customWidth="1"/>
    <col min="1500" max="1500" width="12.5703125" style="1" customWidth="1"/>
    <col min="1501" max="1501" width="13.28515625" style="1" customWidth="1"/>
    <col min="1502" max="1750" width="8.85546875" style="1"/>
    <col min="1751" max="1751" width="11.85546875" style="1" customWidth="1"/>
    <col min="1752" max="1752" width="15" style="1" customWidth="1"/>
    <col min="1753" max="1753" width="12.85546875" style="1" customWidth="1"/>
    <col min="1754" max="1754" width="13.5703125" style="1" customWidth="1"/>
    <col min="1755" max="1755" width="14.140625" style="1" customWidth="1"/>
    <col min="1756" max="1756" width="12.5703125" style="1" customWidth="1"/>
    <col min="1757" max="1757" width="13.28515625" style="1" customWidth="1"/>
    <col min="1758" max="2006" width="8.85546875" style="1"/>
    <col min="2007" max="2007" width="11.85546875" style="1" customWidth="1"/>
    <col min="2008" max="2008" width="15" style="1" customWidth="1"/>
    <col min="2009" max="2009" width="12.85546875" style="1" customWidth="1"/>
    <col min="2010" max="2010" width="13.5703125" style="1" customWidth="1"/>
    <col min="2011" max="2011" width="14.140625" style="1" customWidth="1"/>
    <col min="2012" max="2012" width="12.5703125" style="1" customWidth="1"/>
    <col min="2013" max="2013" width="13.28515625" style="1" customWidth="1"/>
    <col min="2014" max="2262" width="8.85546875" style="1"/>
    <col min="2263" max="2263" width="11.85546875" style="1" customWidth="1"/>
    <col min="2264" max="2264" width="15" style="1" customWidth="1"/>
    <col min="2265" max="2265" width="12.85546875" style="1" customWidth="1"/>
    <col min="2266" max="2266" width="13.5703125" style="1" customWidth="1"/>
    <col min="2267" max="2267" width="14.140625" style="1" customWidth="1"/>
    <col min="2268" max="2268" width="12.5703125" style="1" customWidth="1"/>
    <col min="2269" max="2269" width="13.28515625" style="1" customWidth="1"/>
    <col min="2270" max="2518" width="8.85546875" style="1"/>
    <col min="2519" max="2519" width="11.85546875" style="1" customWidth="1"/>
    <col min="2520" max="2520" width="15" style="1" customWidth="1"/>
    <col min="2521" max="2521" width="12.85546875" style="1" customWidth="1"/>
    <col min="2522" max="2522" width="13.5703125" style="1" customWidth="1"/>
    <col min="2523" max="2523" width="14.140625" style="1" customWidth="1"/>
    <col min="2524" max="2524" width="12.5703125" style="1" customWidth="1"/>
    <col min="2525" max="2525" width="13.28515625" style="1" customWidth="1"/>
    <col min="2526" max="2774" width="8.85546875" style="1"/>
    <col min="2775" max="2775" width="11.85546875" style="1" customWidth="1"/>
    <col min="2776" max="2776" width="15" style="1" customWidth="1"/>
    <col min="2777" max="2777" width="12.85546875" style="1" customWidth="1"/>
    <col min="2778" max="2778" width="13.5703125" style="1" customWidth="1"/>
    <col min="2779" max="2779" width="14.140625" style="1" customWidth="1"/>
    <col min="2780" max="2780" width="12.5703125" style="1" customWidth="1"/>
    <col min="2781" max="2781" width="13.28515625" style="1" customWidth="1"/>
    <col min="2782" max="3030" width="8.85546875" style="1"/>
    <col min="3031" max="3031" width="11.85546875" style="1" customWidth="1"/>
    <col min="3032" max="3032" width="15" style="1" customWidth="1"/>
    <col min="3033" max="3033" width="12.85546875" style="1" customWidth="1"/>
    <col min="3034" max="3034" width="13.5703125" style="1" customWidth="1"/>
    <col min="3035" max="3035" width="14.140625" style="1" customWidth="1"/>
    <col min="3036" max="3036" width="12.5703125" style="1" customWidth="1"/>
    <col min="3037" max="3037" width="13.28515625" style="1" customWidth="1"/>
    <col min="3038" max="3286" width="8.85546875" style="1"/>
    <col min="3287" max="3287" width="11.85546875" style="1" customWidth="1"/>
    <col min="3288" max="3288" width="15" style="1" customWidth="1"/>
    <col min="3289" max="3289" width="12.85546875" style="1" customWidth="1"/>
    <col min="3290" max="3290" width="13.5703125" style="1" customWidth="1"/>
    <col min="3291" max="3291" width="14.140625" style="1" customWidth="1"/>
    <col min="3292" max="3292" width="12.5703125" style="1" customWidth="1"/>
    <col min="3293" max="3293" width="13.28515625" style="1" customWidth="1"/>
    <col min="3294" max="3542" width="8.85546875" style="1"/>
    <col min="3543" max="3543" width="11.85546875" style="1" customWidth="1"/>
    <col min="3544" max="3544" width="15" style="1" customWidth="1"/>
    <col min="3545" max="3545" width="12.85546875" style="1" customWidth="1"/>
    <col min="3546" max="3546" width="13.5703125" style="1" customWidth="1"/>
    <col min="3547" max="3547" width="14.140625" style="1" customWidth="1"/>
    <col min="3548" max="3548" width="12.5703125" style="1" customWidth="1"/>
    <col min="3549" max="3549" width="13.28515625" style="1" customWidth="1"/>
    <col min="3550" max="3798" width="8.85546875" style="1"/>
    <col min="3799" max="3799" width="11.85546875" style="1" customWidth="1"/>
    <col min="3800" max="3800" width="15" style="1" customWidth="1"/>
    <col min="3801" max="3801" width="12.85546875" style="1" customWidth="1"/>
    <col min="3802" max="3802" width="13.5703125" style="1" customWidth="1"/>
    <col min="3803" max="3803" width="14.140625" style="1" customWidth="1"/>
    <col min="3804" max="3804" width="12.5703125" style="1" customWidth="1"/>
    <col min="3805" max="3805" width="13.28515625" style="1" customWidth="1"/>
    <col min="3806" max="4054" width="8.85546875" style="1"/>
    <col min="4055" max="4055" width="11.85546875" style="1" customWidth="1"/>
    <col min="4056" max="4056" width="15" style="1" customWidth="1"/>
    <col min="4057" max="4057" width="12.85546875" style="1" customWidth="1"/>
    <col min="4058" max="4058" width="13.5703125" style="1" customWidth="1"/>
    <col min="4059" max="4059" width="14.140625" style="1" customWidth="1"/>
    <col min="4060" max="4060" width="12.5703125" style="1" customWidth="1"/>
    <col min="4061" max="4061" width="13.28515625" style="1" customWidth="1"/>
    <col min="4062" max="4310" width="8.85546875" style="1"/>
    <col min="4311" max="4311" width="11.85546875" style="1" customWidth="1"/>
    <col min="4312" max="4312" width="15" style="1" customWidth="1"/>
    <col min="4313" max="4313" width="12.85546875" style="1" customWidth="1"/>
    <col min="4314" max="4314" width="13.5703125" style="1" customWidth="1"/>
    <col min="4315" max="4315" width="14.140625" style="1" customWidth="1"/>
    <col min="4316" max="4316" width="12.5703125" style="1" customWidth="1"/>
    <col min="4317" max="4317" width="13.28515625" style="1" customWidth="1"/>
    <col min="4318" max="4566" width="8.85546875" style="1"/>
    <col min="4567" max="4567" width="11.85546875" style="1" customWidth="1"/>
    <col min="4568" max="4568" width="15" style="1" customWidth="1"/>
    <col min="4569" max="4569" width="12.85546875" style="1" customWidth="1"/>
    <col min="4570" max="4570" width="13.5703125" style="1" customWidth="1"/>
    <col min="4571" max="4571" width="14.140625" style="1" customWidth="1"/>
    <col min="4572" max="4572" width="12.5703125" style="1" customWidth="1"/>
    <col min="4573" max="4573" width="13.28515625" style="1" customWidth="1"/>
    <col min="4574" max="4822" width="8.85546875" style="1"/>
    <col min="4823" max="4823" width="11.85546875" style="1" customWidth="1"/>
    <col min="4824" max="4824" width="15" style="1" customWidth="1"/>
    <col min="4825" max="4825" width="12.85546875" style="1" customWidth="1"/>
    <col min="4826" max="4826" width="13.5703125" style="1" customWidth="1"/>
    <col min="4827" max="4827" width="14.140625" style="1" customWidth="1"/>
    <col min="4828" max="4828" width="12.5703125" style="1" customWidth="1"/>
    <col min="4829" max="4829" width="13.28515625" style="1" customWidth="1"/>
    <col min="4830" max="5078" width="8.85546875" style="1"/>
    <col min="5079" max="5079" width="11.85546875" style="1" customWidth="1"/>
    <col min="5080" max="5080" width="15" style="1" customWidth="1"/>
    <col min="5081" max="5081" width="12.85546875" style="1" customWidth="1"/>
    <col min="5082" max="5082" width="13.5703125" style="1" customWidth="1"/>
    <col min="5083" max="5083" width="14.140625" style="1" customWidth="1"/>
    <col min="5084" max="5084" width="12.5703125" style="1" customWidth="1"/>
    <col min="5085" max="5085" width="13.28515625" style="1" customWidth="1"/>
    <col min="5086" max="5334" width="8.85546875" style="1"/>
    <col min="5335" max="5335" width="11.85546875" style="1" customWidth="1"/>
    <col min="5336" max="5336" width="15" style="1" customWidth="1"/>
    <col min="5337" max="5337" width="12.85546875" style="1" customWidth="1"/>
    <col min="5338" max="5338" width="13.5703125" style="1" customWidth="1"/>
    <col min="5339" max="5339" width="14.140625" style="1" customWidth="1"/>
    <col min="5340" max="5340" width="12.5703125" style="1" customWidth="1"/>
    <col min="5341" max="5341" width="13.28515625" style="1" customWidth="1"/>
    <col min="5342" max="5590" width="8.85546875" style="1"/>
    <col min="5591" max="5591" width="11.85546875" style="1" customWidth="1"/>
    <col min="5592" max="5592" width="15" style="1" customWidth="1"/>
    <col min="5593" max="5593" width="12.85546875" style="1" customWidth="1"/>
    <col min="5594" max="5594" width="13.5703125" style="1" customWidth="1"/>
    <col min="5595" max="5595" width="14.140625" style="1" customWidth="1"/>
    <col min="5596" max="5596" width="12.5703125" style="1" customWidth="1"/>
    <col min="5597" max="5597" width="13.28515625" style="1" customWidth="1"/>
    <col min="5598" max="5846" width="8.85546875" style="1"/>
    <col min="5847" max="5847" width="11.85546875" style="1" customWidth="1"/>
    <col min="5848" max="5848" width="15" style="1" customWidth="1"/>
    <col min="5849" max="5849" width="12.85546875" style="1" customWidth="1"/>
    <col min="5850" max="5850" width="13.5703125" style="1" customWidth="1"/>
    <col min="5851" max="5851" width="14.140625" style="1" customWidth="1"/>
    <col min="5852" max="5852" width="12.5703125" style="1" customWidth="1"/>
    <col min="5853" max="5853" width="13.28515625" style="1" customWidth="1"/>
    <col min="5854" max="6102" width="8.85546875" style="1"/>
    <col min="6103" max="6103" width="11.85546875" style="1" customWidth="1"/>
    <col min="6104" max="6104" width="15" style="1" customWidth="1"/>
    <col min="6105" max="6105" width="12.85546875" style="1" customWidth="1"/>
    <col min="6106" max="6106" width="13.5703125" style="1" customWidth="1"/>
    <col min="6107" max="6107" width="14.140625" style="1" customWidth="1"/>
    <col min="6108" max="6108" width="12.5703125" style="1" customWidth="1"/>
    <col min="6109" max="6109" width="13.28515625" style="1" customWidth="1"/>
    <col min="6110" max="6358" width="8.85546875" style="1"/>
    <col min="6359" max="6359" width="11.85546875" style="1" customWidth="1"/>
    <col min="6360" max="6360" width="15" style="1" customWidth="1"/>
    <col min="6361" max="6361" width="12.85546875" style="1" customWidth="1"/>
    <col min="6362" max="6362" width="13.5703125" style="1" customWidth="1"/>
    <col min="6363" max="6363" width="14.140625" style="1" customWidth="1"/>
    <col min="6364" max="6364" width="12.5703125" style="1" customWidth="1"/>
    <col min="6365" max="6365" width="13.28515625" style="1" customWidth="1"/>
    <col min="6366" max="6614" width="8.85546875" style="1"/>
    <col min="6615" max="6615" width="11.85546875" style="1" customWidth="1"/>
    <col min="6616" max="6616" width="15" style="1" customWidth="1"/>
    <col min="6617" max="6617" width="12.85546875" style="1" customWidth="1"/>
    <col min="6618" max="6618" width="13.5703125" style="1" customWidth="1"/>
    <col min="6619" max="6619" width="14.140625" style="1" customWidth="1"/>
    <col min="6620" max="6620" width="12.5703125" style="1" customWidth="1"/>
    <col min="6621" max="6621" width="13.28515625" style="1" customWidth="1"/>
    <col min="6622" max="6870" width="8.85546875" style="1"/>
    <col min="6871" max="6871" width="11.85546875" style="1" customWidth="1"/>
    <col min="6872" max="6872" width="15" style="1" customWidth="1"/>
    <col min="6873" max="6873" width="12.85546875" style="1" customWidth="1"/>
    <col min="6874" max="6874" width="13.5703125" style="1" customWidth="1"/>
    <col min="6875" max="6875" width="14.140625" style="1" customWidth="1"/>
    <col min="6876" max="6876" width="12.5703125" style="1" customWidth="1"/>
    <col min="6877" max="6877" width="13.28515625" style="1" customWidth="1"/>
    <col min="6878" max="7126" width="8.85546875" style="1"/>
    <col min="7127" max="7127" width="11.85546875" style="1" customWidth="1"/>
    <col min="7128" max="7128" width="15" style="1" customWidth="1"/>
    <col min="7129" max="7129" width="12.85546875" style="1" customWidth="1"/>
    <col min="7130" max="7130" width="13.5703125" style="1" customWidth="1"/>
    <col min="7131" max="7131" width="14.140625" style="1" customWidth="1"/>
    <col min="7132" max="7132" width="12.5703125" style="1" customWidth="1"/>
    <col min="7133" max="7133" width="13.28515625" style="1" customWidth="1"/>
    <col min="7134" max="7382" width="8.85546875" style="1"/>
    <col min="7383" max="7383" width="11.85546875" style="1" customWidth="1"/>
    <col min="7384" max="7384" width="15" style="1" customWidth="1"/>
    <col min="7385" max="7385" width="12.85546875" style="1" customWidth="1"/>
    <col min="7386" max="7386" width="13.5703125" style="1" customWidth="1"/>
    <col min="7387" max="7387" width="14.140625" style="1" customWidth="1"/>
    <col min="7388" max="7388" width="12.5703125" style="1" customWidth="1"/>
    <col min="7389" max="7389" width="13.28515625" style="1" customWidth="1"/>
    <col min="7390" max="7638" width="8.85546875" style="1"/>
    <col min="7639" max="7639" width="11.85546875" style="1" customWidth="1"/>
    <col min="7640" max="7640" width="15" style="1" customWidth="1"/>
    <col min="7641" max="7641" width="12.85546875" style="1" customWidth="1"/>
    <col min="7642" max="7642" width="13.5703125" style="1" customWidth="1"/>
    <col min="7643" max="7643" width="14.140625" style="1" customWidth="1"/>
    <col min="7644" max="7644" width="12.5703125" style="1" customWidth="1"/>
    <col min="7645" max="7645" width="13.28515625" style="1" customWidth="1"/>
    <col min="7646" max="7894" width="8.85546875" style="1"/>
    <col min="7895" max="7895" width="11.85546875" style="1" customWidth="1"/>
    <col min="7896" max="7896" width="15" style="1" customWidth="1"/>
    <col min="7897" max="7897" width="12.85546875" style="1" customWidth="1"/>
    <col min="7898" max="7898" width="13.5703125" style="1" customWidth="1"/>
    <col min="7899" max="7899" width="14.140625" style="1" customWidth="1"/>
    <col min="7900" max="7900" width="12.5703125" style="1" customWidth="1"/>
    <col min="7901" max="7901" width="13.28515625" style="1" customWidth="1"/>
    <col min="7902" max="8150" width="8.85546875" style="1"/>
    <col min="8151" max="8151" width="11.85546875" style="1" customWidth="1"/>
    <col min="8152" max="8152" width="15" style="1" customWidth="1"/>
    <col min="8153" max="8153" width="12.85546875" style="1" customWidth="1"/>
    <col min="8154" max="8154" width="13.5703125" style="1" customWidth="1"/>
    <col min="8155" max="8155" width="14.140625" style="1" customWidth="1"/>
    <col min="8156" max="8156" width="12.5703125" style="1" customWidth="1"/>
    <col min="8157" max="8157" width="13.28515625" style="1" customWidth="1"/>
    <col min="8158" max="8406" width="8.85546875" style="1"/>
    <col min="8407" max="8407" width="11.85546875" style="1" customWidth="1"/>
    <col min="8408" max="8408" width="15" style="1" customWidth="1"/>
    <col min="8409" max="8409" width="12.85546875" style="1" customWidth="1"/>
    <col min="8410" max="8410" width="13.5703125" style="1" customWidth="1"/>
    <col min="8411" max="8411" width="14.140625" style="1" customWidth="1"/>
    <col min="8412" max="8412" width="12.5703125" style="1" customWidth="1"/>
    <col min="8413" max="8413" width="13.28515625" style="1" customWidth="1"/>
    <col min="8414" max="8662" width="8.85546875" style="1"/>
    <col min="8663" max="8663" width="11.85546875" style="1" customWidth="1"/>
    <col min="8664" max="8664" width="15" style="1" customWidth="1"/>
    <col min="8665" max="8665" width="12.85546875" style="1" customWidth="1"/>
    <col min="8666" max="8666" width="13.5703125" style="1" customWidth="1"/>
    <col min="8667" max="8667" width="14.140625" style="1" customWidth="1"/>
    <col min="8668" max="8668" width="12.5703125" style="1" customWidth="1"/>
    <col min="8669" max="8669" width="13.28515625" style="1" customWidth="1"/>
    <col min="8670" max="8918" width="8.85546875" style="1"/>
    <col min="8919" max="8919" width="11.85546875" style="1" customWidth="1"/>
    <col min="8920" max="8920" width="15" style="1" customWidth="1"/>
    <col min="8921" max="8921" width="12.85546875" style="1" customWidth="1"/>
    <col min="8922" max="8922" width="13.5703125" style="1" customWidth="1"/>
    <col min="8923" max="8923" width="14.140625" style="1" customWidth="1"/>
    <col min="8924" max="8924" width="12.5703125" style="1" customWidth="1"/>
    <col min="8925" max="8925" width="13.28515625" style="1" customWidth="1"/>
    <col min="8926" max="9174" width="8.85546875" style="1"/>
    <col min="9175" max="9175" width="11.85546875" style="1" customWidth="1"/>
    <col min="9176" max="9176" width="15" style="1" customWidth="1"/>
    <col min="9177" max="9177" width="12.85546875" style="1" customWidth="1"/>
    <col min="9178" max="9178" width="13.5703125" style="1" customWidth="1"/>
    <col min="9179" max="9179" width="14.140625" style="1" customWidth="1"/>
    <col min="9180" max="9180" width="12.5703125" style="1" customWidth="1"/>
    <col min="9181" max="9181" width="13.28515625" style="1" customWidth="1"/>
    <col min="9182" max="9430" width="8.85546875" style="1"/>
    <col min="9431" max="9431" width="11.85546875" style="1" customWidth="1"/>
    <col min="9432" max="9432" width="15" style="1" customWidth="1"/>
    <col min="9433" max="9433" width="12.85546875" style="1" customWidth="1"/>
    <col min="9434" max="9434" width="13.5703125" style="1" customWidth="1"/>
    <col min="9435" max="9435" width="14.140625" style="1" customWidth="1"/>
    <col min="9436" max="9436" width="12.5703125" style="1" customWidth="1"/>
    <col min="9437" max="9437" width="13.28515625" style="1" customWidth="1"/>
    <col min="9438" max="9686" width="8.85546875" style="1"/>
    <col min="9687" max="9687" width="11.85546875" style="1" customWidth="1"/>
    <col min="9688" max="9688" width="15" style="1" customWidth="1"/>
    <col min="9689" max="9689" width="12.85546875" style="1" customWidth="1"/>
    <col min="9690" max="9690" width="13.5703125" style="1" customWidth="1"/>
    <col min="9691" max="9691" width="14.140625" style="1" customWidth="1"/>
    <col min="9692" max="9692" width="12.5703125" style="1" customWidth="1"/>
    <col min="9693" max="9693" width="13.28515625" style="1" customWidth="1"/>
    <col min="9694" max="9942" width="8.85546875" style="1"/>
    <col min="9943" max="9943" width="11.85546875" style="1" customWidth="1"/>
    <col min="9944" max="9944" width="15" style="1" customWidth="1"/>
    <col min="9945" max="9945" width="12.85546875" style="1" customWidth="1"/>
    <col min="9946" max="9946" width="13.5703125" style="1" customWidth="1"/>
    <col min="9947" max="9947" width="14.140625" style="1" customWidth="1"/>
    <col min="9948" max="9948" width="12.5703125" style="1" customWidth="1"/>
    <col min="9949" max="9949" width="13.28515625" style="1" customWidth="1"/>
    <col min="9950" max="10198" width="8.85546875" style="1"/>
    <col min="10199" max="10199" width="11.85546875" style="1" customWidth="1"/>
    <col min="10200" max="10200" width="15" style="1" customWidth="1"/>
    <col min="10201" max="10201" width="12.85546875" style="1" customWidth="1"/>
    <col min="10202" max="10202" width="13.5703125" style="1" customWidth="1"/>
    <col min="10203" max="10203" width="14.140625" style="1" customWidth="1"/>
    <col min="10204" max="10204" width="12.5703125" style="1" customWidth="1"/>
    <col min="10205" max="10205" width="13.28515625" style="1" customWidth="1"/>
    <col min="10206" max="10454" width="8.85546875" style="1"/>
    <col min="10455" max="10455" width="11.85546875" style="1" customWidth="1"/>
    <col min="10456" max="10456" width="15" style="1" customWidth="1"/>
    <col min="10457" max="10457" width="12.85546875" style="1" customWidth="1"/>
    <col min="10458" max="10458" width="13.5703125" style="1" customWidth="1"/>
    <col min="10459" max="10459" width="14.140625" style="1" customWidth="1"/>
    <col min="10460" max="10460" width="12.5703125" style="1" customWidth="1"/>
    <col min="10461" max="10461" width="13.28515625" style="1" customWidth="1"/>
    <col min="10462" max="10710" width="8.85546875" style="1"/>
    <col min="10711" max="10711" width="11.85546875" style="1" customWidth="1"/>
    <col min="10712" max="10712" width="15" style="1" customWidth="1"/>
    <col min="10713" max="10713" width="12.85546875" style="1" customWidth="1"/>
    <col min="10714" max="10714" width="13.5703125" style="1" customWidth="1"/>
    <col min="10715" max="10715" width="14.140625" style="1" customWidth="1"/>
    <col min="10716" max="10716" width="12.5703125" style="1" customWidth="1"/>
    <col min="10717" max="10717" width="13.28515625" style="1" customWidth="1"/>
    <col min="10718" max="10966" width="8.85546875" style="1"/>
    <col min="10967" max="10967" width="11.85546875" style="1" customWidth="1"/>
    <col min="10968" max="10968" width="15" style="1" customWidth="1"/>
    <col min="10969" max="10969" width="12.85546875" style="1" customWidth="1"/>
    <col min="10970" max="10970" width="13.5703125" style="1" customWidth="1"/>
    <col min="10971" max="10971" width="14.140625" style="1" customWidth="1"/>
    <col min="10972" max="10972" width="12.5703125" style="1" customWidth="1"/>
    <col min="10973" max="10973" width="13.28515625" style="1" customWidth="1"/>
    <col min="10974" max="11222" width="8.85546875" style="1"/>
    <col min="11223" max="11223" width="11.85546875" style="1" customWidth="1"/>
    <col min="11224" max="11224" width="15" style="1" customWidth="1"/>
    <col min="11225" max="11225" width="12.85546875" style="1" customWidth="1"/>
    <col min="11226" max="11226" width="13.5703125" style="1" customWidth="1"/>
    <col min="11227" max="11227" width="14.140625" style="1" customWidth="1"/>
    <col min="11228" max="11228" width="12.5703125" style="1" customWidth="1"/>
    <col min="11229" max="11229" width="13.28515625" style="1" customWidth="1"/>
    <col min="11230" max="11478" width="8.85546875" style="1"/>
    <col min="11479" max="11479" width="11.85546875" style="1" customWidth="1"/>
    <col min="11480" max="11480" width="15" style="1" customWidth="1"/>
    <col min="11481" max="11481" width="12.85546875" style="1" customWidth="1"/>
    <col min="11482" max="11482" width="13.5703125" style="1" customWidth="1"/>
    <col min="11483" max="11483" width="14.140625" style="1" customWidth="1"/>
    <col min="11484" max="11484" width="12.5703125" style="1" customWidth="1"/>
    <col min="11485" max="11485" width="13.28515625" style="1" customWidth="1"/>
    <col min="11486" max="11734" width="8.85546875" style="1"/>
    <col min="11735" max="11735" width="11.85546875" style="1" customWidth="1"/>
    <col min="11736" max="11736" width="15" style="1" customWidth="1"/>
    <col min="11737" max="11737" width="12.85546875" style="1" customWidth="1"/>
    <col min="11738" max="11738" width="13.5703125" style="1" customWidth="1"/>
    <col min="11739" max="11739" width="14.140625" style="1" customWidth="1"/>
    <col min="11740" max="11740" width="12.5703125" style="1" customWidth="1"/>
    <col min="11741" max="11741" width="13.28515625" style="1" customWidth="1"/>
    <col min="11742" max="11990" width="8.85546875" style="1"/>
    <col min="11991" max="11991" width="11.85546875" style="1" customWidth="1"/>
    <col min="11992" max="11992" width="15" style="1" customWidth="1"/>
    <col min="11993" max="11993" width="12.85546875" style="1" customWidth="1"/>
    <col min="11994" max="11994" width="13.5703125" style="1" customWidth="1"/>
    <col min="11995" max="11995" width="14.140625" style="1" customWidth="1"/>
    <col min="11996" max="11996" width="12.5703125" style="1" customWidth="1"/>
    <col min="11997" max="11997" width="13.28515625" style="1" customWidth="1"/>
    <col min="11998" max="12246" width="8.85546875" style="1"/>
    <col min="12247" max="12247" width="11.85546875" style="1" customWidth="1"/>
    <col min="12248" max="12248" width="15" style="1" customWidth="1"/>
    <col min="12249" max="12249" width="12.85546875" style="1" customWidth="1"/>
    <col min="12250" max="12250" width="13.5703125" style="1" customWidth="1"/>
    <col min="12251" max="12251" width="14.140625" style="1" customWidth="1"/>
    <col min="12252" max="12252" width="12.5703125" style="1" customWidth="1"/>
    <col min="12253" max="12253" width="13.28515625" style="1" customWidth="1"/>
    <col min="12254" max="12502" width="8.85546875" style="1"/>
    <col min="12503" max="12503" width="11.85546875" style="1" customWidth="1"/>
    <col min="12504" max="12504" width="15" style="1" customWidth="1"/>
    <col min="12505" max="12505" width="12.85546875" style="1" customWidth="1"/>
    <col min="12506" max="12506" width="13.5703125" style="1" customWidth="1"/>
    <col min="12507" max="12507" width="14.140625" style="1" customWidth="1"/>
    <col min="12508" max="12508" width="12.5703125" style="1" customWidth="1"/>
    <col min="12509" max="12509" width="13.28515625" style="1" customWidth="1"/>
    <col min="12510" max="12758" width="8.85546875" style="1"/>
    <col min="12759" max="12759" width="11.85546875" style="1" customWidth="1"/>
    <col min="12760" max="12760" width="15" style="1" customWidth="1"/>
    <col min="12761" max="12761" width="12.85546875" style="1" customWidth="1"/>
    <col min="12762" max="12762" width="13.5703125" style="1" customWidth="1"/>
    <col min="12763" max="12763" width="14.140625" style="1" customWidth="1"/>
    <col min="12764" max="12764" width="12.5703125" style="1" customWidth="1"/>
    <col min="12765" max="12765" width="13.28515625" style="1" customWidth="1"/>
    <col min="12766" max="13014" width="8.85546875" style="1"/>
    <col min="13015" max="13015" width="11.85546875" style="1" customWidth="1"/>
    <col min="13016" max="13016" width="15" style="1" customWidth="1"/>
    <col min="13017" max="13017" width="12.85546875" style="1" customWidth="1"/>
    <col min="13018" max="13018" width="13.5703125" style="1" customWidth="1"/>
    <col min="13019" max="13019" width="14.140625" style="1" customWidth="1"/>
    <col min="13020" max="13020" width="12.5703125" style="1" customWidth="1"/>
    <col min="13021" max="13021" width="13.28515625" style="1" customWidth="1"/>
    <col min="13022" max="13270" width="8.85546875" style="1"/>
    <col min="13271" max="13271" width="11.85546875" style="1" customWidth="1"/>
    <col min="13272" max="13272" width="15" style="1" customWidth="1"/>
    <col min="13273" max="13273" width="12.85546875" style="1" customWidth="1"/>
    <col min="13274" max="13274" width="13.5703125" style="1" customWidth="1"/>
    <col min="13275" max="13275" width="14.140625" style="1" customWidth="1"/>
    <col min="13276" max="13276" width="12.5703125" style="1" customWidth="1"/>
    <col min="13277" max="13277" width="13.28515625" style="1" customWidth="1"/>
    <col min="13278" max="13526" width="8.85546875" style="1"/>
    <col min="13527" max="13527" width="11.85546875" style="1" customWidth="1"/>
    <col min="13528" max="13528" width="15" style="1" customWidth="1"/>
    <col min="13529" max="13529" width="12.85546875" style="1" customWidth="1"/>
    <col min="13530" max="13530" width="13.5703125" style="1" customWidth="1"/>
    <col min="13531" max="13531" width="14.140625" style="1" customWidth="1"/>
    <col min="13532" max="13532" width="12.5703125" style="1" customWidth="1"/>
    <col min="13533" max="13533" width="13.28515625" style="1" customWidth="1"/>
    <col min="13534" max="13782" width="8.85546875" style="1"/>
    <col min="13783" max="13783" width="11.85546875" style="1" customWidth="1"/>
    <col min="13784" max="13784" width="15" style="1" customWidth="1"/>
    <col min="13785" max="13785" width="12.85546875" style="1" customWidth="1"/>
    <col min="13786" max="13786" width="13.5703125" style="1" customWidth="1"/>
    <col min="13787" max="13787" width="14.140625" style="1" customWidth="1"/>
    <col min="13788" max="13788" width="12.5703125" style="1" customWidth="1"/>
    <col min="13789" max="13789" width="13.28515625" style="1" customWidth="1"/>
    <col min="13790" max="14038" width="8.85546875" style="1"/>
    <col min="14039" max="14039" width="11.85546875" style="1" customWidth="1"/>
    <col min="14040" max="14040" width="15" style="1" customWidth="1"/>
    <col min="14041" max="14041" width="12.85546875" style="1" customWidth="1"/>
    <col min="14042" max="14042" width="13.5703125" style="1" customWidth="1"/>
    <col min="14043" max="14043" width="14.140625" style="1" customWidth="1"/>
    <col min="14044" max="14044" width="12.5703125" style="1" customWidth="1"/>
    <col min="14045" max="14045" width="13.28515625" style="1" customWidth="1"/>
    <col min="14046" max="14294" width="8.85546875" style="1"/>
    <col min="14295" max="14295" width="11.85546875" style="1" customWidth="1"/>
    <col min="14296" max="14296" width="15" style="1" customWidth="1"/>
    <col min="14297" max="14297" width="12.85546875" style="1" customWidth="1"/>
    <col min="14298" max="14298" width="13.5703125" style="1" customWidth="1"/>
    <col min="14299" max="14299" width="14.140625" style="1" customWidth="1"/>
    <col min="14300" max="14300" width="12.5703125" style="1" customWidth="1"/>
    <col min="14301" max="14301" width="13.28515625" style="1" customWidth="1"/>
    <col min="14302" max="14550" width="8.85546875" style="1"/>
    <col min="14551" max="14551" width="11.85546875" style="1" customWidth="1"/>
    <col min="14552" max="14552" width="15" style="1" customWidth="1"/>
    <col min="14553" max="14553" width="12.85546875" style="1" customWidth="1"/>
    <col min="14554" max="14554" width="13.5703125" style="1" customWidth="1"/>
    <col min="14555" max="14555" width="14.140625" style="1" customWidth="1"/>
    <col min="14556" max="14556" width="12.5703125" style="1" customWidth="1"/>
    <col min="14557" max="14557" width="13.28515625" style="1" customWidth="1"/>
    <col min="14558" max="14806" width="8.85546875" style="1"/>
    <col min="14807" max="14807" width="11.85546875" style="1" customWidth="1"/>
    <col min="14808" max="14808" width="15" style="1" customWidth="1"/>
    <col min="14809" max="14809" width="12.85546875" style="1" customWidth="1"/>
    <col min="14810" max="14810" width="13.5703125" style="1" customWidth="1"/>
    <col min="14811" max="14811" width="14.140625" style="1" customWidth="1"/>
    <col min="14812" max="14812" width="12.5703125" style="1" customWidth="1"/>
    <col min="14813" max="14813" width="13.28515625" style="1" customWidth="1"/>
    <col min="14814" max="15062" width="8.85546875" style="1"/>
    <col min="15063" max="15063" width="11.85546875" style="1" customWidth="1"/>
    <col min="15064" max="15064" width="15" style="1" customWidth="1"/>
    <col min="15065" max="15065" width="12.85546875" style="1" customWidth="1"/>
    <col min="15066" max="15066" width="13.5703125" style="1" customWidth="1"/>
    <col min="15067" max="15067" width="14.140625" style="1" customWidth="1"/>
    <col min="15068" max="15068" width="12.5703125" style="1" customWidth="1"/>
    <col min="15069" max="15069" width="13.28515625" style="1" customWidth="1"/>
    <col min="15070" max="15318" width="8.85546875" style="1"/>
    <col min="15319" max="15319" width="11.85546875" style="1" customWidth="1"/>
    <col min="15320" max="15320" width="15" style="1" customWidth="1"/>
    <col min="15321" max="15321" width="12.85546875" style="1" customWidth="1"/>
    <col min="15322" max="15322" width="13.5703125" style="1" customWidth="1"/>
    <col min="15323" max="15323" width="14.140625" style="1" customWidth="1"/>
    <col min="15324" max="15324" width="12.5703125" style="1" customWidth="1"/>
    <col min="15325" max="15325" width="13.28515625" style="1" customWidth="1"/>
    <col min="15326" max="15574" width="8.85546875" style="1"/>
    <col min="15575" max="15575" width="11.85546875" style="1" customWidth="1"/>
    <col min="15576" max="15576" width="15" style="1" customWidth="1"/>
    <col min="15577" max="15577" width="12.85546875" style="1" customWidth="1"/>
    <col min="15578" max="15578" width="13.5703125" style="1" customWidth="1"/>
    <col min="15579" max="15579" width="14.140625" style="1" customWidth="1"/>
    <col min="15580" max="15580" width="12.5703125" style="1" customWidth="1"/>
    <col min="15581" max="15581" width="13.28515625" style="1" customWidth="1"/>
    <col min="15582" max="15830" width="8.85546875" style="1"/>
    <col min="15831" max="15831" width="11.85546875" style="1" customWidth="1"/>
    <col min="15832" max="15832" width="15" style="1" customWidth="1"/>
    <col min="15833" max="15833" width="12.85546875" style="1" customWidth="1"/>
    <col min="15834" max="15834" width="13.5703125" style="1" customWidth="1"/>
    <col min="15835" max="15835" width="14.140625" style="1" customWidth="1"/>
    <col min="15836" max="15836" width="12.5703125" style="1" customWidth="1"/>
    <col min="15837" max="15837" width="13.28515625" style="1" customWidth="1"/>
    <col min="15838" max="16086" width="8.85546875" style="1"/>
    <col min="16087" max="16087" width="11.85546875" style="1" customWidth="1"/>
    <col min="16088" max="16088" width="15" style="1" customWidth="1"/>
    <col min="16089" max="16089" width="12.85546875" style="1" customWidth="1"/>
    <col min="16090" max="16090" width="13.5703125" style="1" customWidth="1"/>
    <col min="16091" max="16091" width="14.140625" style="1" customWidth="1"/>
    <col min="16092" max="16092" width="12.5703125" style="1" customWidth="1"/>
    <col min="16093" max="16093" width="13.28515625" style="1" customWidth="1"/>
    <col min="16094" max="16384" width="8.85546875" style="1"/>
  </cols>
  <sheetData>
    <row r="1" spans="1:16" ht="60" customHeight="1" x14ac:dyDescent="0.2">
      <c r="B1" s="13"/>
      <c r="C1" s="13" t="s">
        <v>155</v>
      </c>
    </row>
    <row r="3" spans="1:16" ht="20.100000000000001" customHeight="1" thickBot="1" x14ac:dyDescent="0.35">
      <c r="A3" s="12" t="s">
        <v>2</v>
      </c>
      <c r="B3" s="3"/>
      <c r="C3" s="3"/>
      <c r="D3" s="3"/>
    </row>
    <row r="4" spans="1:16" ht="20.100000000000001" customHeight="1" thickTop="1" thickBot="1" x14ac:dyDescent="0.25">
      <c r="A4" s="51" t="s">
        <v>146</v>
      </c>
      <c r="B4" s="76" t="s">
        <v>45</v>
      </c>
      <c r="C4" s="76" t="s">
        <v>51</v>
      </c>
      <c r="D4" s="99" t="s">
        <v>4</v>
      </c>
      <c r="E4" s="99" t="s">
        <v>47</v>
      </c>
      <c r="F4" s="99" t="s">
        <v>46</v>
      </c>
      <c r="G4" s="76" t="s">
        <v>51</v>
      </c>
      <c r="H4" s="100" t="s">
        <v>147</v>
      </c>
      <c r="I4" s="100" t="s">
        <v>148</v>
      </c>
      <c r="J4" s="100" t="s">
        <v>149</v>
      </c>
      <c r="K4" s="100" t="s">
        <v>150</v>
      </c>
      <c r="L4" s="101" t="s">
        <v>53</v>
      </c>
      <c r="M4" s="77" t="s">
        <v>48</v>
      </c>
      <c r="N4" s="30" t="s">
        <v>50</v>
      </c>
      <c r="O4" s="17" t="s">
        <v>49</v>
      </c>
      <c r="P4" s="65"/>
    </row>
    <row r="5" spans="1:16" ht="20.100000000000001" customHeight="1" thickTop="1" x14ac:dyDescent="0.2">
      <c r="A5" s="121">
        <v>1</v>
      </c>
      <c r="B5" s="40">
        <v>44926.5</v>
      </c>
      <c r="C5" s="41">
        <v>9</v>
      </c>
      <c r="D5" s="116">
        <v>11.291954022988506</v>
      </c>
      <c r="E5" s="42">
        <v>2456</v>
      </c>
      <c r="F5" s="124">
        <f t="shared" ref="F5:F24" si="0">IF(OR(B5="",D5=""),"",(B5-C5/24)+(M5+G5/24))</f>
        <v>44935.520833333336</v>
      </c>
      <c r="G5" s="41">
        <v>8</v>
      </c>
      <c r="H5" s="42">
        <v>95</v>
      </c>
      <c r="I5" s="42">
        <v>1</v>
      </c>
      <c r="J5" s="42">
        <v>10</v>
      </c>
      <c r="K5" s="42">
        <v>140</v>
      </c>
      <c r="L5" s="79">
        <v>30</v>
      </c>
      <c r="M5" s="88">
        <f>N5/24</f>
        <v>9.0625</v>
      </c>
      <c r="N5" s="89">
        <f t="shared" ref="N5:N24" si="1">IF(OR(B5="",D5="",D5=0),0,E5/D5)</f>
        <v>217.5</v>
      </c>
      <c r="O5" s="90">
        <f t="shared" ref="O5:O24" si="2">IF(N5=0,0,E5/N5)</f>
        <v>11.291954022988506</v>
      </c>
      <c r="P5" s="91"/>
    </row>
    <row r="6" spans="1:16" ht="20.100000000000001" customHeight="1" x14ac:dyDescent="0.2">
      <c r="A6" s="122">
        <v>2</v>
      </c>
      <c r="B6" s="43">
        <f t="shared" ref="B6:B12" si="3">IF(OR(B5="",D5=""),"",F5)</f>
        <v>44935.520833333336</v>
      </c>
      <c r="C6" s="44">
        <f t="shared" ref="C6:C12" si="4">IF(G5="","",G5)</f>
        <v>8</v>
      </c>
      <c r="D6" s="117">
        <v>12.000000000279396</v>
      </c>
      <c r="E6" s="45">
        <v>30</v>
      </c>
      <c r="F6" s="125">
        <f t="shared" si="0"/>
        <v>44935.625</v>
      </c>
      <c r="G6" s="44">
        <v>8</v>
      </c>
      <c r="H6" s="45">
        <v>0</v>
      </c>
      <c r="I6" s="55">
        <v>40</v>
      </c>
      <c r="J6" s="55">
        <v>0</v>
      </c>
      <c r="K6" s="55">
        <v>140</v>
      </c>
      <c r="L6" s="80">
        <v>0</v>
      </c>
      <c r="M6" s="92">
        <f t="shared" ref="M6:M24" si="5">N6/24</f>
        <v>0.10416666666424135</v>
      </c>
      <c r="N6" s="93">
        <f t="shared" si="1"/>
        <v>2.4999999999417923</v>
      </c>
      <c r="O6" s="94">
        <f t="shared" si="2"/>
        <v>12.000000000279396</v>
      </c>
      <c r="P6" s="91"/>
    </row>
    <row r="7" spans="1:16" ht="20.100000000000001" customHeight="1" x14ac:dyDescent="0.2">
      <c r="A7" s="122">
        <v>3</v>
      </c>
      <c r="B7" s="43">
        <f t="shared" si="3"/>
        <v>44935.625</v>
      </c>
      <c r="C7" s="44">
        <f t="shared" si="4"/>
        <v>8</v>
      </c>
      <c r="D7" s="117">
        <v>1</v>
      </c>
      <c r="E7" s="45">
        <v>24</v>
      </c>
      <c r="F7" s="126">
        <f t="shared" si="0"/>
        <v>44936.625</v>
      </c>
      <c r="G7" s="44">
        <v>8</v>
      </c>
      <c r="H7" s="45">
        <v>50</v>
      </c>
      <c r="I7" s="45">
        <v>1</v>
      </c>
      <c r="J7" s="45">
        <v>0</v>
      </c>
      <c r="K7" s="45">
        <v>140</v>
      </c>
      <c r="L7" s="81">
        <v>0</v>
      </c>
      <c r="M7" s="95">
        <f t="shared" si="5"/>
        <v>1</v>
      </c>
      <c r="N7" s="96">
        <f t="shared" si="1"/>
        <v>24</v>
      </c>
      <c r="O7" s="94">
        <f t="shared" si="2"/>
        <v>1</v>
      </c>
      <c r="P7" s="91"/>
    </row>
    <row r="8" spans="1:16" ht="20.100000000000001" customHeight="1" x14ac:dyDescent="0.2">
      <c r="A8" s="122">
        <v>4</v>
      </c>
      <c r="B8" s="43">
        <f t="shared" si="3"/>
        <v>44936.625</v>
      </c>
      <c r="C8" s="44">
        <f t="shared" si="4"/>
        <v>8</v>
      </c>
      <c r="D8" s="117">
        <v>14.999999999563443</v>
      </c>
      <c r="E8" s="45">
        <v>30</v>
      </c>
      <c r="F8" s="126">
        <f t="shared" si="0"/>
        <v>44936.708333333336</v>
      </c>
      <c r="G8" s="44">
        <v>8</v>
      </c>
      <c r="H8" s="45">
        <v>0</v>
      </c>
      <c r="I8" s="45">
        <v>40</v>
      </c>
      <c r="J8" s="45">
        <v>0</v>
      </c>
      <c r="K8" s="45">
        <v>140</v>
      </c>
      <c r="L8" s="81">
        <v>0</v>
      </c>
      <c r="M8" s="95">
        <f t="shared" si="5"/>
        <v>8.3333333335758653E-2</v>
      </c>
      <c r="N8" s="96">
        <f t="shared" si="1"/>
        <v>2.0000000000582077</v>
      </c>
      <c r="O8" s="94">
        <f t="shared" si="2"/>
        <v>14.999999999563443</v>
      </c>
      <c r="P8" s="91"/>
    </row>
    <row r="9" spans="1:16" ht="20.100000000000001" customHeight="1" x14ac:dyDescent="0.2">
      <c r="A9" s="122">
        <v>5</v>
      </c>
      <c r="B9" s="43">
        <f t="shared" si="3"/>
        <v>44936.708333333336</v>
      </c>
      <c r="C9" s="44">
        <f t="shared" si="4"/>
        <v>8</v>
      </c>
      <c r="D9" s="117">
        <v>7.0409787459809943</v>
      </c>
      <c r="E9" s="45">
        <v>3760</v>
      </c>
      <c r="F9" s="126">
        <f t="shared" si="0"/>
        <v>44959.000694444447</v>
      </c>
      <c r="G9" s="44">
        <v>9</v>
      </c>
      <c r="H9" s="45">
        <v>100</v>
      </c>
      <c r="I9" s="45">
        <v>1</v>
      </c>
      <c r="J9" s="45">
        <v>0</v>
      </c>
      <c r="K9" s="45">
        <v>140</v>
      </c>
      <c r="L9" s="81">
        <v>20</v>
      </c>
      <c r="M9" s="95">
        <f t="shared" si="5"/>
        <v>22.250694444446708</v>
      </c>
      <c r="N9" s="96">
        <f t="shared" si="1"/>
        <v>534.01666666672099</v>
      </c>
      <c r="O9" s="94">
        <f t="shared" si="2"/>
        <v>7.0409787459809943</v>
      </c>
      <c r="P9" s="91"/>
    </row>
    <row r="10" spans="1:16" ht="20.100000000000001" customHeight="1" x14ac:dyDescent="0.2">
      <c r="A10" s="122">
        <v>6</v>
      </c>
      <c r="B10" s="43">
        <f t="shared" si="3"/>
        <v>44959.000694444447</v>
      </c>
      <c r="C10" s="44">
        <f t="shared" si="4"/>
        <v>9</v>
      </c>
      <c r="D10" s="117">
        <v>6.6852367688629286</v>
      </c>
      <c r="E10" s="45">
        <v>40</v>
      </c>
      <c r="F10" s="126">
        <f t="shared" si="0"/>
        <v>44959.25</v>
      </c>
      <c r="G10" s="44">
        <v>9</v>
      </c>
      <c r="H10" s="45">
        <v>0</v>
      </c>
      <c r="I10" s="45">
        <v>40</v>
      </c>
      <c r="J10" s="45">
        <v>0</v>
      </c>
      <c r="K10" s="45">
        <v>140</v>
      </c>
      <c r="L10" s="81">
        <v>0</v>
      </c>
      <c r="M10" s="95">
        <f t="shared" si="5"/>
        <v>0.24930555555329192</v>
      </c>
      <c r="N10" s="96">
        <f t="shared" si="1"/>
        <v>5.9833333332790062</v>
      </c>
      <c r="O10" s="94">
        <f t="shared" si="2"/>
        <v>6.6852367688629286</v>
      </c>
      <c r="P10" s="91"/>
    </row>
    <row r="11" spans="1:16" ht="20.100000000000001" customHeight="1" x14ac:dyDescent="0.2">
      <c r="A11" s="122">
        <v>7</v>
      </c>
      <c r="B11" s="43">
        <f t="shared" si="3"/>
        <v>44959.25</v>
      </c>
      <c r="C11" s="44">
        <f t="shared" si="4"/>
        <v>9</v>
      </c>
      <c r="D11" s="117">
        <v>1</v>
      </c>
      <c r="E11" s="45">
        <v>30</v>
      </c>
      <c r="F11" s="126">
        <f t="shared" si="0"/>
        <v>44960.5</v>
      </c>
      <c r="G11" s="44">
        <v>9</v>
      </c>
      <c r="H11" s="45">
        <v>0</v>
      </c>
      <c r="I11" s="45">
        <v>43</v>
      </c>
      <c r="J11" s="45">
        <v>0</v>
      </c>
      <c r="K11" s="45">
        <v>140</v>
      </c>
      <c r="L11" s="81">
        <v>0</v>
      </c>
      <c r="M11" s="95">
        <f t="shared" si="5"/>
        <v>1.25</v>
      </c>
      <c r="N11" s="96">
        <f t="shared" si="1"/>
        <v>30</v>
      </c>
      <c r="O11" s="94">
        <f t="shared" si="2"/>
        <v>1</v>
      </c>
      <c r="P11" s="91"/>
    </row>
    <row r="12" spans="1:16" ht="20.100000000000001" customHeight="1" x14ac:dyDescent="0.2">
      <c r="A12" s="122">
        <v>8</v>
      </c>
      <c r="B12" s="43">
        <f t="shared" si="3"/>
        <v>44960.5</v>
      </c>
      <c r="C12" s="44">
        <f t="shared" si="4"/>
        <v>9</v>
      </c>
      <c r="D12" s="117" t="s">
        <v>145</v>
      </c>
      <c r="E12" s="45"/>
      <c r="F12" s="126" t="str">
        <f t="shared" si="0"/>
        <v/>
      </c>
      <c r="G12" s="44"/>
      <c r="H12" s="45"/>
      <c r="I12" s="45"/>
      <c r="J12" s="45"/>
      <c r="K12" s="45"/>
      <c r="L12" s="81"/>
      <c r="M12" s="95">
        <f t="shared" si="5"/>
        <v>0</v>
      </c>
      <c r="N12" s="96">
        <f t="shared" si="1"/>
        <v>0</v>
      </c>
      <c r="O12" s="94">
        <f t="shared" si="2"/>
        <v>0</v>
      </c>
      <c r="P12" s="91"/>
    </row>
    <row r="13" spans="1:16" ht="20.100000000000001" customHeight="1" x14ac:dyDescent="0.2">
      <c r="A13" s="122">
        <v>9</v>
      </c>
      <c r="B13" s="43"/>
      <c r="C13" s="44"/>
      <c r="D13" s="117" t="s">
        <v>145</v>
      </c>
      <c r="E13" s="45"/>
      <c r="F13" s="126" t="str">
        <f t="shared" si="0"/>
        <v/>
      </c>
      <c r="G13" s="44"/>
      <c r="H13" s="45"/>
      <c r="I13" s="45"/>
      <c r="J13" s="45"/>
      <c r="K13" s="45"/>
      <c r="L13" s="81"/>
      <c r="M13" s="95">
        <f t="shared" si="5"/>
        <v>0</v>
      </c>
      <c r="N13" s="96">
        <f t="shared" si="1"/>
        <v>0</v>
      </c>
      <c r="O13" s="94">
        <f t="shared" si="2"/>
        <v>0</v>
      </c>
      <c r="P13" s="91"/>
    </row>
    <row r="14" spans="1:16" ht="20.100000000000001" customHeight="1" x14ac:dyDescent="0.2">
      <c r="A14" s="122">
        <v>10</v>
      </c>
      <c r="B14" s="43"/>
      <c r="C14" s="44"/>
      <c r="D14" s="117" t="s">
        <v>145</v>
      </c>
      <c r="E14" s="45"/>
      <c r="F14" s="126" t="str">
        <f t="shared" si="0"/>
        <v/>
      </c>
      <c r="G14" s="44"/>
      <c r="H14" s="45"/>
      <c r="I14" s="45"/>
      <c r="J14" s="45"/>
      <c r="K14" s="45"/>
      <c r="L14" s="81"/>
      <c r="M14" s="95">
        <f t="shared" si="5"/>
        <v>0</v>
      </c>
      <c r="N14" s="96">
        <f t="shared" si="1"/>
        <v>0</v>
      </c>
      <c r="O14" s="94">
        <f t="shared" si="2"/>
        <v>0</v>
      </c>
      <c r="P14" s="91"/>
    </row>
    <row r="15" spans="1:16" ht="20.100000000000001" customHeight="1" x14ac:dyDescent="0.2">
      <c r="A15" s="122">
        <v>11</v>
      </c>
      <c r="B15" s="43"/>
      <c r="C15" s="44"/>
      <c r="D15" s="117" t="s">
        <v>145</v>
      </c>
      <c r="E15" s="45"/>
      <c r="F15" s="126" t="str">
        <f t="shared" si="0"/>
        <v/>
      </c>
      <c r="G15" s="44"/>
      <c r="H15" s="45"/>
      <c r="I15" s="45"/>
      <c r="J15" s="45"/>
      <c r="K15" s="45"/>
      <c r="L15" s="81"/>
      <c r="M15" s="95">
        <f t="shared" si="5"/>
        <v>0</v>
      </c>
      <c r="N15" s="96">
        <f t="shared" si="1"/>
        <v>0</v>
      </c>
      <c r="O15" s="94">
        <f t="shared" si="2"/>
        <v>0</v>
      </c>
      <c r="P15" s="91"/>
    </row>
    <row r="16" spans="1:16" ht="20.100000000000001" customHeight="1" x14ac:dyDescent="0.2">
      <c r="A16" s="122">
        <v>12</v>
      </c>
      <c r="B16" s="43"/>
      <c r="C16" s="44"/>
      <c r="D16" s="117" t="s">
        <v>145</v>
      </c>
      <c r="E16" s="45"/>
      <c r="F16" s="126" t="str">
        <f t="shared" si="0"/>
        <v/>
      </c>
      <c r="G16" s="44"/>
      <c r="H16" s="45"/>
      <c r="I16" s="45"/>
      <c r="J16" s="45"/>
      <c r="K16" s="45"/>
      <c r="L16" s="81"/>
      <c r="M16" s="95">
        <f t="shared" si="5"/>
        <v>0</v>
      </c>
      <c r="N16" s="96">
        <f t="shared" si="1"/>
        <v>0</v>
      </c>
      <c r="O16" s="97">
        <f t="shared" si="2"/>
        <v>0</v>
      </c>
      <c r="P16" s="98"/>
    </row>
    <row r="17" spans="1:16" ht="20.100000000000001" customHeight="1" x14ac:dyDescent="0.2">
      <c r="A17" s="122">
        <v>13</v>
      </c>
      <c r="B17" s="43"/>
      <c r="C17" s="44"/>
      <c r="D17" s="117" t="s">
        <v>145</v>
      </c>
      <c r="E17" s="45"/>
      <c r="F17" s="126" t="str">
        <f t="shared" si="0"/>
        <v/>
      </c>
      <c r="G17" s="44"/>
      <c r="H17" s="45"/>
      <c r="I17" s="45"/>
      <c r="J17" s="45"/>
      <c r="K17" s="45"/>
      <c r="L17" s="81"/>
      <c r="M17" s="95">
        <f t="shared" si="5"/>
        <v>0</v>
      </c>
      <c r="N17" s="96">
        <f t="shared" si="1"/>
        <v>0</v>
      </c>
      <c r="O17" s="97">
        <f t="shared" si="2"/>
        <v>0</v>
      </c>
      <c r="P17" s="98"/>
    </row>
    <row r="18" spans="1:16" ht="20.100000000000001" customHeight="1" x14ac:dyDescent="0.2">
      <c r="A18" s="122">
        <v>14</v>
      </c>
      <c r="B18" s="43"/>
      <c r="C18" s="44"/>
      <c r="D18" s="117" t="s">
        <v>145</v>
      </c>
      <c r="E18" s="45"/>
      <c r="F18" s="126" t="str">
        <f t="shared" si="0"/>
        <v/>
      </c>
      <c r="G18" s="44"/>
      <c r="H18" s="45"/>
      <c r="I18" s="45"/>
      <c r="J18" s="45"/>
      <c r="K18" s="45"/>
      <c r="L18" s="81"/>
      <c r="M18" s="95">
        <f t="shared" si="5"/>
        <v>0</v>
      </c>
      <c r="N18" s="96">
        <f t="shared" si="1"/>
        <v>0</v>
      </c>
      <c r="O18" s="97">
        <f t="shared" si="2"/>
        <v>0</v>
      </c>
      <c r="P18" s="98"/>
    </row>
    <row r="19" spans="1:16" ht="20.100000000000001" customHeight="1" x14ac:dyDescent="0.2">
      <c r="A19" s="122">
        <v>15</v>
      </c>
      <c r="B19" s="43"/>
      <c r="C19" s="44"/>
      <c r="D19" s="117" t="s">
        <v>145</v>
      </c>
      <c r="E19" s="45"/>
      <c r="F19" s="126" t="str">
        <f t="shared" si="0"/>
        <v/>
      </c>
      <c r="G19" s="44"/>
      <c r="H19" s="45"/>
      <c r="I19" s="45"/>
      <c r="J19" s="45"/>
      <c r="K19" s="45"/>
      <c r="L19" s="81"/>
      <c r="M19" s="95">
        <f t="shared" si="5"/>
        <v>0</v>
      </c>
      <c r="N19" s="96">
        <f t="shared" si="1"/>
        <v>0</v>
      </c>
      <c r="O19" s="94">
        <f t="shared" si="2"/>
        <v>0</v>
      </c>
      <c r="P19" s="91"/>
    </row>
    <row r="20" spans="1:16" ht="20.100000000000001" customHeight="1" x14ac:dyDescent="0.2">
      <c r="A20" s="122">
        <v>16</v>
      </c>
      <c r="B20" s="43"/>
      <c r="C20" s="44"/>
      <c r="D20" s="117" t="s">
        <v>145</v>
      </c>
      <c r="E20" s="45"/>
      <c r="F20" s="126" t="str">
        <f t="shared" si="0"/>
        <v/>
      </c>
      <c r="G20" s="44"/>
      <c r="H20" s="45"/>
      <c r="I20" s="45"/>
      <c r="J20" s="45"/>
      <c r="K20" s="45"/>
      <c r="L20" s="81"/>
      <c r="M20" s="95">
        <f t="shared" si="5"/>
        <v>0</v>
      </c>
      <c r="N20" s="96">
        <f t="shared" si="1"/>
        <v>0</v>
      </c>
      <c r="O20" s="94">
        <f t="shared" si="2"/>
        <v>0</v>
      </c>
      <c r="P20" s="91"/>
    </row>
    <row r="21" spans="1:16" s="8" customFormat="1" ht="20.100000000000001" customHeight="1" x14ac:dyDescent="0.2">
      <c r="A21" s="122">
        <v>17</v>
      </c>
      <c r="B21" s="43"/>
      <c r="C21" s="44"/>
      <c r="D21" s="117" t="s">
        <v>145</v>
      </c>
      <c r="E21" s="45"/>
      <c r="F21" s="126" t="str">
        <f t="shared" si="0"/>
        <v/>
      </c>
      <c r="G21" s="44"/>
      <c r="H21" s="45"/>
      <c r="I21" s="45"/>
      <c r="J21" s="45"/>
      <c r="K21" s="45"/>
      <c r="L21" s="81"/>
      <c r="M21" s="95">
        <f t="shared" si="5"/>
        <v>0</v>
      </c>
      <c r="N21" s="96">
        <f t="shared" si="1"/>
        <v>0</v>
      </c>
      <c r="O21" s="94">
        <f t="shared" si="2"/>
        <v>0</v>
      </c>
      <c r="P21" s="91"/>
    </row>
    <row r="22" spans="1:16" ht="20.100000000000001" customHeight="1" x14ac:dyDescent="0.2">
      <c r="A22" s="122">
        <v>18</v>
      </c>
      <c r="B22" s="43"/>
      <c r="C22" s="44"/>
      <c r="D22" s="117" t="s">
        <v>145</v>
      </c>
      <c r="E22" s="45"/>
      <c r="F22" s="126" t="str">
        <f t="shared" si="0"/>
        <v/>
      </c>
      <c r="G22" s="44"/>
      <c r="H22" s="45"/>
      <c r="I22" s="45"/>
      <c r="J22" s="45"/>
      <c r="K22" s="45"/>
      <c r="L22" s="81"/>
      <c r="M22" s="95">
        <f t="shared" si="5"/>
        <v>0</v>
      </c>
      <c r="N22" s="96">
        <f t="shared" si="1"/>
        <v>0</v>
      </c>
      <c r="O22" s="94">
        <f t="shared" si="2"/>
        <v>0</v>
      </c>
      <c r="P22" s="91"/>
    </row>
    <row r="23" spans="1:16" ht="20.100000000000001" customHeight="1" x14ac:dyDescent="0.2">
      <c r="A23" s="122">
        <v>19</v>
      </c>
      <c r="B23" s="43"/>
      <c r="C23" s="44"/>
      <c r="D23" s="117" t="s">
        <v>145</v>
      </c>
      <c r="E23" s="45"/>
      <c r="F23" s="126" t="str">
        <f t="shared" si="0"/>
        <v/>
      </c>
      <c r="G23" s="44"/>
      <c r="H23" s="45"/>
      <c r="I23" s="45"/>
      <c r="J23" s="45"/>
      <c r="K23" s="45"/>
      <c r="L23" s="81"/>
      <c r="M23" s="95">
        <f t="shared" si="5"/>
        <v>0</v>
      </c>
      <c r="N23" s="96">
        <f t="shared" si="1"/>
        <v>0</v>
      </c>
      <c r="O23" s="94">
        <f t="shared" si="2"/>
        <v>0</v>
      </c>
      <c r="P23" s="91"/>
    </row>
    <row r="24" spans="1:16" ht="20.100000000000001" customHeight="1" thickBot="1" x14ac:dyDescent="0.25">
      <c r="A24" s="122">
        <v>20</v>
      </c>
      <c r="B24" s="43"/>
      <c r="C24" s="44"/>
      <c r="D24" s="117" t="s">
        <v>145</v>
      </c>
      <c r="E24" s="45"/>
      <c r="F24" s="127" t="str">
        <f t="shared" si="0"/>
        <v/>
      </c>
      <c r="G24" s="44"/>
      <c r="H24" s="58"/>
      <c r="I24" s="50"/>
      <c r="J24" s="50"/>
      <c r="K24" s="50"/>
      <c r="L24" s="82"/>
      <c r="M24" s="95">
        <f t="shared" si="5"/>
        <v>0</v>
      </c>
      <c r="N24" s="96">
        <f t="shared" si="1"/>
        <v>0</v>
      </c>
      <c r="O24" s="94">
        <f t="shared" si="2"/>
        <v>0</v>
      </c>
      <c r="P24" s="91"/>
    </row>
    <row r="25" spans="1:16" ht="20.100000000000001" customHeight="1" thickTop="1" thickBot="1" x14ac:dyDescent="0.25">
      <c r="A25" s="51" t="s">
        <v>0</v>
      </c>
      <c r="B25" s="52"/>
      <c r="C25" s="52"/>
      <c r="D25" s="53"/>
      <c r="E25" s="53">
        <f>SUM(E5:E24)</f>
        <v>6370</v>
      </c>
      <c r="F25" s="53"/>
      <c r="G25" s="53"/>
      <c r="H25" s="53"/>
      <c r="I25" s="53"/>
      <c r="J25" s="53"/>
      <c r="K25" s="53"/>
      <c r="L25" s="54"/>
      <c r="M25" s="78">
        <f>SUM(M5:M24)</f>
        <v>34</v>
      </c>
      <c r="N25" s="53">
        <f>SUM(N5:N24)</f>
        <v>816</v>
      </c>
      <c r="O25" s="54">
        <f>E25/N25</f>
        <v>7.8063725490196081</v>
      </c>
      <c r="P25" s="66"/>
    </row>
    <row r="26" spans="1:16" ht="20.100000000000001" customHeight="1" thickTop="1" x14ac:dyDescent="0.2"/>
    <row r="27" spans="1:16" ht="20.100000000000001" customHeight="1" thickBot="1" x14ac:dyDescent="0.25"/>
    <row r="28" spans="1:16" ht="20.100000000000001" customHeight="1" thickTop="1" thickBot="1" x14ac:dyDescent="0.35">
      <c r="A28" s="12" t="s">
        <v>142</v>
      </c>
      <c r="B28" s="20"/>
      <c r="C28" s="20"/>
      <c r="D28" s="129" t="s">
        <v>152</v>
      </c>
      <c r="E28" s="133">
        <v>159000</v>
      </c>
      <c r="F28" s="133">
        <v>1800</v>
      </c>
      <c r="G28" s="134">
        <v>300</v>
      </c>
    </row>
    <row r="29" spans="1:16" ht="20.100000000000001" customHeight="1" thickTop="1" thickBot="1" x14ac:dyDescent="0.25">
      <c r="A29" s="51" t="s">
        <v>44</v>
      </c>
      <c r="B29" s="100" t="s">
        <v>48</v>
      </c>
      <c r="C29" s="100" t="s">
        <v>50</v>
      </c>
      <c r="D29" s="128" t="s">
        <v>49</v>
      </c>
      <c r="E29" s="128" t="s">
        <v>139</v>
      </c>
      <c r="F29" s="128" t="s">
        <v>140</v>
      </c>
      <c r="G29" s="128" t="s">
        <v>141</v>
      </c>
      <c r="H29" s="99" t="s">
        <v>131</v>
      </c>
      <c r="I29" s="99" t="s">
        <v>53</v>
      </c>
      <c r="J29" s="99" t="s">
        <v>132</v>
      </c>
      <c r="K29" s="101" t="s">
        <v>138</v>
      </c>
      <c r="L29" s="65"/>
      <c r="M29" s="65"/>
    </row>
    <row r="30" spans="1:16" ht="20.100000000000001" customHeight="1" thickTop="1" x14ac:dyDescent="0.2">
      <c r="A30" s="102">
        <f t="shared" ref="A30:A49" si="6">A5</f>
        <v>1</v>
      </c>
      <c r="B30" s="105">
        <f t="shared" ref="B30:B49" si="7">IF($D5="","",M5)</f>
        <v>9.0625</v>
      </c>
      <c r="C30" s="105">
        <f t="shared" ref="C30:C49" si="8">IF($D5="","",N5)</f>
        <v>217.5</v>
      </c>
      <c r="D30" s="105">
        <f t="shared" ref="D30:D49" si="9">IF($D5="","",O5)</f>
        <v>11.291954022988506</v>
      </c>
      <c r="E30" s="106">
        <f t="shared" ref="E30:E49" si="10">IF($F5="","",H5*$M5)</f>
        <v>860.9375</v>
      </c>
      <c r="F30" s="106">
        <f t="shared" ref="F30:F49" si="11">IF($D5="","",I5*$M5)</f>
        <v>9.0625</v>
      </c>
      <c r="G30" s="106">
        <f t="shared" ref="G30:G49" si="12">IF($D5="","",J5*$M5)</f>
        <v>90.625</v>
      </c>
      <c r="H30" s="106">
        <f t="shared" ref="H30:H49" si="13">IF($D5="","",K5*$M5)</f>
        <v>1268.75</v>
      </c>
      <c r="I30" s="106">
        <f t="shared" ref="I30:I49" si="14">IF($D5="","",L5*$M5)</f>
        <v>271.875</v>
      </c>
      <c r="J30" s="106">
        <f>IF($D5="","",H30+I30)</f>
        <v>1540.625</v>
      </c>
      <c r="K30" s="107">
        <f>IF($D5="","",IF(J30-E30&lt;0,0,J30-E30))</f>
        <v>679.6875</v>
      </c>
      <c r="L30" s="67"/>
      <c r="M30" s="67"/>
    </row>
    <row r="31" spans="1:16" ht="20.100000000000001" customHeight="1" x14ac:dyDescent="0.2">
      <c r="A31" s="102">
        <f t="shared" si="6"/>
        <v>2</v>
      </c>
      <c r="B31" s="108">
        <f t="shared" si="7"/>
        <v>0.10416666666424135</v>
      </c>
      <c r="C31" s="108">
        <f t="shared" si="8"/>
        <v>2.4999999999417923</v>
      </c>
      <c r="D31" s="108">
        <f t="shared" si="9"/>
        <v>12.000000000279396</v>
      </c>
      <c r="E31" s="109">
        <f t="shared" si="10"/>
        <v>0</v>
      </c>
      <c r="F31" s="109">
        <f t="shared" si="11"/>
        <v>4.1666666665696539</v>
      </c>
      <c r="G31" s="109">
        <f t="shared" si="12"/>
        <v>0</v>
      </c>
      <c r="H31" s="109">
        <f t="shared" si="13"/>
        <v>14.583333332993789</v>
      </c>
      <c r="I31" s="109">
        <f t="shared" si="14"/>
        <v>0</v>
      </c>
      <c r="J31" s="109">
        <f t="shared" ref="J31:J49" si="15">IF($D6="","",H31+I31)</f>
        <v>14.583333332993789</v>
      </c>
      <c r="K31" s="110">
        <f t="shared" ref="K31:K49" si="16">IF($D6="","",IF(J31-E31&lt;0,0,J31-E31))</f>
        <v>14.583333332993789</v>
      </c>
      <c r="L31" s="67"/>
      <c r="M31" s="67"/>
    </row>
    <row r="32" spans="1:16" ht="20.100000000000001" customHeight="1" x14ac:dyDescent="0.2">
      <c r="A32" s="102">
        <f t="shared" si="6"/>
        <v>3</v>
      </c>
      <c r="B32" s="108">
        <f t="shared" si="7"/>
        <v>1</v>
      </c>
      <c r="C32" s="108">
        <f t="shared" si="8"/>
        <v>24</v>
      </c>
      <c r="D32" s="108">
        <f t="shared" si="9"/>
        <v>1</v>
      </c>
      <c r="E32" s="109">
        <f t="shared" si="10"/>
        <v>50</v>
      </c>
      <c r="F32" s="109">
        <f t="shared" si="11"/>
        <v>1</v>
      </c>
      <c r="G32" s="109">
        <f t="shared" si="12"/>
        <v>0</v>
      </c>
      <c r="H32" s="109">
        <f t="shared" si="13"/>
        <v>140</v>
      </c>
      <c r="I32" s="109">
        <f t="shared" si="14"/>
        <v>0</v>
      </c>
      <c r="J32" s="109">
        <f t="shared" si="15"/>
        <v>140</v>
      </c>
      <c r="K32" s="110">
        <f t="shared" si="16"/>
        <v>90</v>
      </c>
      <c r="L32" s="67"/>
      <c r="M32" s="67"/>
    </row>
    <row r="33" spans="1:13" ht="20.100000000000001" customHeight="1" x14ac:dyDescent="0.2">
      <c r="A33" s="102">
        <f t="shared" si="6"/>
        <v>4</v>
      </c>
      <c r="B33" s="108">
        <f t="shared" si="7"/>
        <v>8.3333333335758653E-2</v>
      </c>
      <c r="C33" s="108">
        <f t="shared" si="8"/>
        <v>2.0000000000582077</v>
      </c>
      <c r="D33" s="108">
        <f t="shared" si="9"/>
        <v>14.999999999563443</v>
      </c>
      <c r="E33" s="109">
        <f t="shared" si="10"/>
        <v>0</v>
      </c>
      <c r="F33" s="109">
        <f t="shared" si="11"/>
        <v>3.3333333334303461</v>
      </c>
      <c r="G33" s="109">
        <f t="shared" si="12"/>
        <v>0</v>
      </c>
      <c r="H33" s="109">
        <f t="shared" si="13"/>
        <v>11.666666667006211</v>
      </c>
      <c r="I33" s="109">
        <f t="shared" si="14"/>
        <v>0</v>
      </c>
      <c r="J33" s="109">
        <f t="shared" si="15"/>
        <v>11.666666667006211</v>
      </c>
      <c r="K33" s="110">
        <f t="shared" si="16"/>
        <v>11.666666667006211</v>
      </c>
      <c r="L33" s="67"/>
      <c r="M33" s="67"/>
    </row>
    <row r="34" spans="1:13" ht="20.100000000000001" customHeight="1" x14ac:dyDescent="0.2">
      <c r="A34" s="102">
        <f t="shared" si="6"/>
        <v>5</v>
      </c>
      <c r="B34" s="108">
        <f t="shared" si="7"/>
        <v>22.250694444446708</v>
      </c>
      <c r="C34" s="108">
        <f t="shared" si="8"/>
        <v>534.01666666672099</v>
      </c>
      <c r="D34" s="108">
        <f t="shared" si="9"/>
        <v>7.0409787459809943</v>
      </c>
      <c r="E34" s="109">
        <f t="shared" si="10"/>
        <v>2225.0694444446708</v>
      </c>
      <c r="F34" s="109">
        <f t="shared" si="11"/>
        <v>22.250694444446708</v>
      </c>
      <c r="G34" s="109">
        <f t="shared" si="12"/>
        <v>0</v>
      </c>
      <c r="H34" s="109">
        <f t="shared" si="13"/>
        <v>3115.0972222225391</v>
      </c>
      <c r="I34" s="109">
        <f t="shared" si="14"/>
        <v>445.01388888893416</v>
      </c>
      <c r="J34" s="109">
        <f t="shared" si="15"/>
        <v>3560.1111111114733</v>
      </c>
      <c r="K34" s="110">
        <f t="shared" si="16"/>
        <v>1335.0416666668025</v>
      </c>
      <c r="L34" s="67"/>
      <c r="M34" s="67"/>
    </row>
    <row r="35" spans="1:13" ht="20.100000000000001" customHeight="1" x14ac:dyDescent="0.2">
      <c r="A35" s="102">
        <f t="shared" si="6"/>
        <v>6</v>
      </c>
      <c r="B35" s="108">
        <f t="shared" si="7"/>
        <v>0.24930555555329192</v>
      </c>
      <c r="C35" s="108">
        <f t="shared" si="8"/>
        <v>5.9833333332790062</v>
      </c>
      <c r="D35" s="108">
        <f t="shared" si="9"/>
        <v>6.6852367688629286</v>
      </c>
      <c r="E35" s="109">
        <f t="shared" si="10"/>
        <v>0</v>
      </c>
      <c r="F35" s="109">
        <f t="shared" si="11"/>
        <v>9.972222222131677</v>
      </c>
      <c r="G35" s="109">
        <f t="shared" si="12"/>
        <v>0</v>
      </c>
      <c r="H35" s="109">
        <f t="shared" si="13"/>
        <v>34.902777777460869</v>
      </c>
      <c r="I35" s="109">
        <f t="shared" si="14"/>
        <v>0</v>
      </c>
      <c r="J35" s="109">
        <f t="shared" si="15"/>
        <v>34.902777777460869</v>
      </c>
      <c r="K35" s="110">
        <f t="shared" si="16"/>
        <v>34.902777777460869</v>
      </c>
      <c r="L35" s="67"/>
      <c r="M35" s="67"/>
    </row>
    <row r="36" spans="1:13" ht="20.100000000000001" customHeight="1" x14ac:dyDescent="0.2">
      <c r="A36" s="102">
        <f t="shared" si="6"/>
        <v>7</v>
      </c>
      <c r="B36" s="108">
        <f t="shared" si="7"/>
        <v>1.25</v>
      </c>
      <c r="C36" s="108">
        <f t="shared" si="8"/>
        <v>30</v>
      </c>
      <c r="D36" s="108">
        <f t="shared" si="9"/>
        <v>1</v>
      </c>
      <c r="E36" s="109">
        <f t="shared" si="10"/>
        <v>0</v>
      </c>
      <c r="F36" s="109">
        <f t="shared" si="11"/>
        <v>53.75</v>
      </c>
      <c r="G36" s="109">
        <f t="shared" si="12"/>
        <v>0</v>
      </c>
      <c r="H36" s="109">
        <f t="shared" si="13"/>
        <v>175</v>
      </c>
      <c r="I36" s="109">
        <f t="shared" si="14"/>
        <v>0</v>
      </c>
      <c r="J36" s="109">
        <f t="shared" si="15"/>
        <v>175</v>
      </c>
      <c r="K36" s="110">
        <f t="shared" si="16"/>
        <v>175</v>
      </c>
      <c r="L36" s="67"/>
      <c r="M36" s="67"/>
    </row>
    <row r="37" spans="1:13" ht="20.100000000000001" customHeight="1" x14ac:dyDescent="0.2">
      <c r="A37" s="102">
        <f t="shared" si="6"/>
        <v>8</v>
      </c>
      <c r="B37" s="108" t="str">
        <f t="shared" si="7"/>
        <v/>
      </c>
      <c r="C37" s="108" t="str">
        <f t="shared" si="8"/>
        <v/>
      </c>
      <c r="D37" s="108" t="str">
        <f t="shared" si="9"/>
        <v/>
      </c>
      <c r="E37" s="109" t="str">
        <f t="shared" si="10"/>
        <v/>
      </c>
      <c r="F37" s="109" t="str">
        <f t="shared" si="11"/>
        <v/>
      </c>
      <c r="G37" s="109" t="str">
        <f t="shared" si="12"/>
        <v/>
      </c>
      <c r="H37" s="109" t="str">
        <f t="shared" si="13"/>
        <v/>
      </c>
      <c r="I37" s="109" t="str">
        <f t="shared" si="14"/>
        <v/>
      </c>
      <c r="J37" s="109" t="str">
        <f t="shared" si="15"/>
        <v/>
      </c>
      <c r="K37" s="110" t="str">
        <f t="shared" si="16"/>
        <v/>
      </c>
      <c r="L37" s="67"/>
      <c r="M37" s="67"/>
    </row>
    <row r="38" spans="1:13" ht="20.100000000000001" customHeight="1" x14ac:dyDescent="0.2">
      <c r="A38" s="102">
        <f t="shared" si="6"/>
        <v>9</v>
      </c>
      <c r="B38" s="108" t="str">
        <f t="shared" si="7"/>
        <v/>
      </c>
      <c r="C38" s="108" t="str">
        <f t="shared" si="8"/>
        <v/>
      </c>
      <c r="D38" s="108" t="str">
        <f t="shared" si="9"/>
        <v/>
      </c>
      <c r="E38" s="109" t="str">
        <f t="shared" si="10"/>
        <v/>
      </c>
      <c r="F38" s="109" t="str">
        <f t="shared" si="11"/>
        <v/>
      </c>
      <c r="G38" s="109" t="str">
        <f t="shared" si="12"/>
        <v/>
      </c>
      <c r="H38" s="109" t="str">
        <f t="shared" si="13"/>
        <v/>
      </c>
      <c r="I38" s="109" t="str">
        <f t="shared" si="14"/>
        <v/>
      </c>
      <c r="J38" s="109" t="str">
        <f t="shared" si="15"/>
        <v/>
      </c>
      <c r="K38" s="110" t="str">
        <f t="shared" si="16"/>
        <v/>
      </c>
      <c r="L38" s="67"/>
      <c r="M38" s="67"/>
    </row>
    <row r="39" spans="1:13" ht="20.100000000000001" customHeight="1" x14ac:dyDescent="0.2">
      <c r="A39" s="102">
        <f t="shared" si="6"/>
        <v>10</v>
      </c>
      <c r="B39" s="108" t="str">
        <f t="shared" si="7"/>
        <v/>
      </c>
      <c r="C39" s="108" t="str">
        <f t="shared" si="8"/>
        <v/>
      </c>
      <c r="D39" s="108" t="str">
        <f t="shared" si="9"/>
        <v/>
      </c>
      <c r="E39" s="109" t="str">
        <f t="shared" si="10"/>
        <v/>
      </c>
      <c r="F39" s="109" t="str">
        <f t="shared" si="11"/>
        <v/>
      </c>
      <c r="G39" s="109" t="str">
        <f t="shared" si="12"/>
        <v/>
      </c>
      <c r="H39" s="109" t="str">
        <f t="shared" si="13"/>
        <v/>
      </c>
      <c r="I39" s="109" t="str">
        <f t="shared" si="14"/>
        <v/>
      </c>
      <c r="J39" s="109" t="str">
        <f t="shared" si="15"/>
        <v/>
      </c>
      <c r="K39" s="110" t="str">
        <f t="shared" si="16"/>
        <v/>
      </c>
      <c r="L39" s="67"/>
      <c r="M39" s="67"/>
    </row>
    <row r="40" spans="1:13" ht="20.100000000000001" customHeight="1" x14ac:dyDescent="0.2">
      <c r="A40" s="102">
        <f t="shared" si="6"/>
        <v>11</v>
      </c>
      <c r="B40" s="108" t="str">
        <f t="shared" si="7"/>
        <v/>
      </c>
      <c r="C40" s="108" t="str">
        <f t="shared" si="8"/>
        <v/>
      </c>
      <c r="D40" s="108" t="str">
        <f t="shared" si="9"/>
        <v/>
      </c>
      <c r="E40" s="109" t="str">
        <f t="shared" si="10"/>
        <v/>
      </c>
      <c r="F40" s="109" t="str">
        <f t="shared" si="11"/>
        <v/>
      </c>
      <c r="G40" s="109" t="str">
        <f t="shared" si="12"/>
        <v/>
      </c>
      <c r="H40" s="109" t="str">
        <f t="shared" si="13"/>
        <v/>
      </c>
      <c r="I40" s="109" t="str">
        <f t="shared" si="14"/>
        <v/>
      </c>
      <c r="J40" s="109" t="str">
        <f t="shared" si="15"/>
        <v/>
      </c>
      <c r="K40" s="110" t="str">
        <f t="shared" si="16"/>
        <v/>
      </c>
      <c r="L40" s="67"/>
      <c r="M40" s="67"/>
    </row>
    <row r="41" spans="1:13" ht="20.100000000000001" customHeight="1" x14ac:dyDescent="0.2">
      <c r="A41" s="102">
        <f t="shared" si="6"/>
        <v>12</v>
      </c>
      <c r="B41" s="108" t="str">
        <f t="shared" si="7"/>
        <v/>
      </c>
      <c r="C41" s="108" t="str">
        <f t="shared" si="8"/>
        <v/>
      </c>
      <c r="D41" s="108" t="str">
        <f t="shared" si="9"/>
        <v/>
      </c>
      <c r="E41" s="109" t="str">
        <f t="shared" si="10"/>
        <v/>
      </c>
      <c r="F41" s="109" t="str">
        <f t="shared" si="11"/>
        <v/>
      </c>
      <c r="G41" s="109" t="str">
        <f t="shared" si="12"/>
        <v/>
      </c>
      <c r="H41" s="109" t="str">
        <f t="shared" si="13"/>
        <v/>
      </c>
      <c r="I41" s="109" t="str">
        <f t="shared" si="14"/>
        <v/>
      </c>
      <c r="J41" s="109" t="str">
        <f t="shared" si="15"/>
        <v/>
      </c>
      <c r="K41" s="110" t="str">
        <f t="shared" si="16"/>
        <v/>
      </c>
      <c r="L41" s="67"/>
      <c r="M41" s="67"/>
    </row>
    <row r="42" spans="1:13" ht="20.100000000000001" customHeight="1" x14ac:dyDescent="0.2">
      <c r="A42" s="102">
        <f t="shared" si="6"/>
        <v>13</v>
      </c>
      <c r="B42" s="108" t="str">
        <f t="shared" si="7"/>
        <v/>
      </c>
      <c r="C42" s="108" t="str">
        <f t="shared" si="8"/>
        <v/>
      </c>
      <c r="D42" s="108" t="str">
        <f t="shared" si="9"/>
        <v/>
      </c>
      <c r="E42" s="109" t="str">
        <f t="shared" si="10"/>
        <v/>
      </c>
      <c r="F42" s="109" t="str">
        <f t="shared" si="11"/>
        <v/>
      </c>
      <c r="G42" s="109" t="str">
        <f t="shared" si="12"/>
        <v/>
      </c>
      <c r="H42" s="109" t="str">
        <f t="shared" si="13"/>
        <v/>
      </c>
      <c r="I42" s="109" t="str">
        <f t="shared" si="14"/>
        <v/>
      </c>
      <c r="J42" s="109" t="str">
        <f t="shared" si="15"/>
        <v/>
      </c>
      <c r="K42" s="110" t="str">
        <f t="shared" si="16"/>
        <v/>
      </c>
      <c r="L42" s="67"/>
      <c r="M42" s="67"/>
    </row>
    <row r="43" spans="1:13" ht="20.100000000000001" customHeight="1" x14ac:dyDescent="0.2">
      <c r="A43" s="102">
        <f t="shared" si="6"/>
        <v>14</v>
      </c>
      <c r="B43" s="108" t="str">
        <f t="shared" si="7"/>
        <v/>
      </c>
      <c r="C43" s="108" t="str">
        <f t="shared" si="8"/>
        <v/>
      </c>
      <c r="D43" s="108" t="str">
        <f t="shared" si="9"/>
        <v/>
      </c>
      <c r="E43" s="109" t="str">
        <f t="shared" si="10"/>
        <v/>
      </c>
      <c r="F43" s="109" t="str">
        <f t="shared" si="11"/>
        <v/>
      </c>
      <c r="G43" s="109" t="str">
        <f t="shared" si="12"/>
        <v/>
      </c>
      <c r="H43" s="109" t="str">
        <f t="shared" si="13"/>
        <v/>
      </c>
      <c r="I43" s="109" t="str">
        <f t="shared" si="14"/>
        <v/>
      </c>
      <c r="J43" s="109" t="str">
        <f t="shared" si="15"/>
        <v/>
      </c>
      <c r="K43" s="110" t="str">
        <f t="shared" si="16"/>
        <v/>
      </c>
      <c r="L43" s="67"/>
      <c r="M43" s="67"/>
    </row>
    <row r="44" spans="1:13" ht="20.100000000000001" customHeight="1" x14ac:dyDescent="0.2">
      <c r="A44" s="102">
        <f t="shared" si="6"/>
        <v>15</v>
      </c>
      <c r="B44" s="108" t="str">
        <f t="shared" si="7"/>
        <v/>
      </c>
      <c r="C44" s="108" t="str">
        <f t="shared" si="8"/>
        <v/>
      </c>
      <c r="D44" s="108" t="str">
        <f t="shared" si="9"/>
        <v/>
      </c>
      <c r="E44" s="109" t="str">
        <f t="shared" si="10"/>
        <v/>
      </c>
      <c r="F44" s="109" t="str">
        <f t="shared" si="11"/>
        <v/>
      </c>
      <c r="G44" s="109" t="str">
        <f t="shared" si="12"/>
        <v/>
      </c>
      <c r="H44" s="109" t="str">
        <f t="shared" si="13"/>
        <v/>
      </c>
      <c r="I44" s="109" t="str">
        <f t="shared" si="14"/>
        <v/>
      </c>
      <c r="J44" s="109" t="str">
        <f t="shared" si="15"/>
        <v/>
      </c>
      <c r="K44" s="110" t="str">
        <f t="shared" si="16"/>
        <v/>
      </c>
      <c r="L44" s="67"/>
      <c r="M44" s="67"/>
    </row>
    <row r="45" spans="1:13" ht="20.100000000000001" customHeight="1" x14ac:dyDescent="0.2">
      <c r="A45" s="102">
        <f t="shared" si="6"/>
        <v>16</v>
      </c>
      <c r="B45" s="108" t="str">
        <f t="shared" si="7"/>
        <v/>
      </c>
      <c r="C45" s="108" t="str">
        <f t="shared" si="8"/>
        <v/>
      </c>
      <c r="D45" s="108" t="str">
        <f t="shared" si="9"/>
        <v/>
      </c>
      <c r="E45" s="109" t="str">
        <f t="shared" si="10"/>
        <v/>
      </c>
      <c r="F45" s="109" t="str">
        <f t="shared" si="11"/>
        <v/>
      </c>
      <c r="G45" s="109" t="str">
        <f t="shared" si="12"/>
        <v/>
      </c>
      <c r="H45" s="109" t="str">
        <f t="shared" si="13"/>
        <v/>
      </c>
      <c r="I45" s="109" t="str">
        <f t="shared" si="14"/>
        <v/>
      </c>
      <c r="J45" s="109" t="str">
        <f t="shared" si="15"/>
        <v/>
      </c>
      <c r="K45" s="110" t="str">
        <f t="shared" si="16"/>
        <v/>
      </c>
      <c r="L45" s="67"/>
      <c r="M45" s="67"/>
    </row>
    <row r="46" spans="1:13" ht="20.100000000000001" customHeight="1" x14ac:dyDescent="0.2">
      <c r="A46" s="102">
        <f t="shared" si="6"/>
        <v>17</v>
      </c>
      <c r="B46" s="108" t="str">
        <f t="shared" si="7"/>
        <v/>
      </c>
      <c r="C46" s="108" t="str">
        <f t="shared" si="8"/>
        <v/>
      </c>
      <c r="D46" s="108" t="str">
        <f t="shared" si="9"/>
        <v/>
      </c>
      <c r="E46" s="109" t="str">
        <f t="shared" si="10"/>
        <v/>
      </c>
      <c r="F46" s="109" t="str">
        <f t="shared" si="11"/>
        <v/>
      </c>
      <c r="G46" s="109" t="str">
        <f t="shared" si="12"/>
        <v/>
      </c>
      <c r="H46" s="109" t="str">
        <f t="shared" si="13"/>
        <v/>
      </c>
      <c r="I46" s="109" t="str">
        <f t="shared" si="14"/>
        <v/>
      </c>
      <c r="J46" s="109" t="str">
        <f t="shared" si="15"/>
        <v/>
      </c>
      <c r="K46" s="110" t="str">
        <f t="shared" si="16"/>
        <v/>
      </c>
      <c r="L46" s="67"/>
      <c r="M46" s="67"/>
    </row>
    <row r="47" spans="1:13" ht="20.100000000000001" customHeight="1" x14ac:dyDescent="0.2">
      <c r="A47" s="102">
        <f t="shared" si="6"/>
        <v>18</v>
      </c>
      <c r="B47" s="108" t="str">
        <f t="shared" si="7"/>
        <v/>
      </c>
      <c r="C47" s="108" t="str">
        <f t="shared" si="8"/>
        <v/>
      </c>
      <c r="D47" s="108" t="str">
        <f t="shared" si="9"/>
        <v/>
      </c>
      <c r="E47" s="109" t="str">
        <f t="shared" si="10"/>
        <v/>
      </c>
      <c r="F47" s="109" t="str">
        <f t="shared" si="11"/>
        <v/>
      </c>
      <c r="G47" s="109" t="str">
        <f t="shared" si="12"/>
        <v/>
      </c>
      <c r="H47" s="109" t="str">
        <f t="shared" si="13"/>
        <v/>
      </c>
      <c r="I47" s="109" t="str">
        <f t="shared" si="14"/>
        <v/>
      </c>
      <c r="J47" s="109" t="str">
        <f t="shared" si="15"/>
        <v/>
      </c>
      <c r="K47" s="110" t="str">
        <f t="shared" si="16"/>
        <v/>
      </c>
      <c r="L47" s="67"/>
      <c r="M47" s="67"/>
    </row>
    <row r="48" spans="1:13" ht="20.100000000000001" customHeight="1" x14ac:dyDescent="0.2">
      <c r="A48" s="102">
        <f t="shared" si="6"/>
        <v>19</v>
      </c>
      <c r="B48" s="108" t="str">
        <f t="shared" si="7"/>
        <v/>
      </c>
      <c r="C48" s="108" t="str">
        <f t="shared" si="8"/>
        <v/>
      </c>
      <c r="D48" s="108" t="str">
        <f t="shared" si="9"/>
        <v/>
      </c>
      <c r="E48" s="109" t="str">
        <f t="shared" si="10"/>
        <v/>
      </c>
      <c r="F48" s="109" t="str">
        <f t="shared" si="11"/>
        <v/>
      </c>
      <c r="G48" s="109" t="str">
        <f t="shared" si="12"/>
        <v/>
      </c>
      <c r="H48" s="109" t="str">
        <f t="shared" si="13"/>
        <v/>
      </c>
      <c r="I48" s="109" t="str">
        <f t="shared" si="14"/>
        <v/>
      </c>
      <c r="J48" s="109" t="str">
        <f t="shared" si="15"/>
        <v/>
      </c>
      <c r="K48" s="110" t="str">
        <f t="shared" si="16"/>
        <v/>
      </c>
      <c r="L48" s="67"/>
      <c r="M48" s="67"/>
    </row>
    <row r="49" spans="1:13" ht="20.100000000000001" customHeight="1" thickBot="1" x14ac:dyDescent="0.25">
      <c r="A49" s="120">
        <f t="shared" si="6"/>
        <v>20</v>
      </c>
      <c r="B49" s="111" t="str">
        <f t="shared" si="7"/>
        <v/>
      </c>
      <c r="C49" s="111" t="str">
        <f t="shared" si="8"/>
        <v/>
      </c>
      <c r="D49" s="111" t="str">
        <f t="shared" si="9"/>
        <v/>
      </c>
      <c r="E49" s="112" t="str">
        <f t="shared" si="10"/>
        <v/>
      </c>
      <c r="F49" s="112" t="str">
        <f t="shared" si="11"/>
        <v/>
      </c>
      <c r="G49" s="112" t="str">
        <f t="shared" si="12"/>
        <v/>
      </c>
      <c r="H49" s="112" t="str">
        <f t="shared" si="13"/>
        <v/>
      </c>
      <c r="I49" s="112" t="str">
        <f t="shared" si="14"/>
        <v/>
      </c>
      <c r="J49" s="112" t="str">
        <f t="shared" si="15"/>
        <v/>
      </c>
      <c r="K49" s="113" t="str">
        <f t="shared" si="16"/>
        <v/>
      </c>
      <c r="L49" s="67"/>
      <c r="M49" s="67"/>
    </row>
    <row r="50" spans="1:13" ht="20.100000000000001" customHeight="1" thickTop="1" thickBot="1" x14ac:dyDescent="0.25">
      <c r="A50" s="51" t="s">
        <v>0</v>
      </c>
      <c r="B50" s="73">
        <f t="shared" ref="B50:C50" si="17">SUM(B30:B49)</f>
        <v>34</v>
      </c>
      <c r="C50" s="73">
        <f t="shared" si="17"/>
        <v>816</v>
      </c>
      <c r="D50" s="130">
        <f>E25/N25</f>
        <v>7.8063725490196081</v>
      </c>
      <c r="E50" s="130">
        <f>SUM(E30:E49)</f>
        <v>3136.0069444446708</v>
      </c>
      <c r="F50" s="130">
        <f t="shared" ref="F50:K50" si="18">SUM(F30:F49)</f>
        <v>103.53541666657839</v>
      </c>
      <c r="G50" s="130">
        <f t="shared" si="18"/>
        <v>90.625</v>
      </c>
      <c r="H50" s="73">
        <f t="shared" si="18"/>
        <v>4760</v>
      </c>
      <c r="I50" s="73">
        <f t="shared" si="18"/>
        <v>716.88888888893416</v>
      </c>
      <c r="J50" s="73">
        <f t="shared" si="18"/>
        <v>5476.8888888889342</v>
      </c>
      <c r="K50" s="74">
        <f t="shared" si="18"/>
        <v>2340.8819444442634</v>
      </c>
      <c r="L50" s="68"/>
      <c r="M50" s="68"/>
    </row>
    <row r="51" spans="1:13" ht="20.100000000000001" customHeight="1" thickTop="1" thickBot="1" x14ac:dyDescent="0.25">
      <c r="D51" s="46" t="s">
        <v>153</v>
      </c>
      <c r="E51" s="131">
        <f>E28-E50</f>
        <v>155863.99305555533</v>
      </c>
      <c r="F51" s="131">
        <f t="shared" ref="F51:G51" si="19">F28-F50</f>
        <v>1696.4645833334216</v>
      </c>
      <c r="G51" s="114">
        <f t="shared" si="19"/>
        <v>209.375</v>
      </c>
    </row>
    <row r="52" spans="1:13" ht="20.100000000000001" customHeight="1" thickTop="1" x14ac:dyDescent="0.2"/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D26"/>
  </sheetPr>
  <dimension ref="A1:BA125"/>
  <sheetViews>
    <sheetView showGridLines="0" workbookViewId="0">
      <pane ySplit="1" topLeftCell="A2" activePane="bottomLeft" state="frozen"/>
      <selection pane="bottomLeft" activeCell="E77" sqref="E77"/>
    </sheetView>
  </sheetViews>
  <sheetFormatPr defaultColWidth="8.85546875" defaultRowHeight="20.100000000000001" customHeight="1" x14ac:dyDescent="0.2"/>
  <cols>
    <col min="1" max="1" width="30.7109375" style="1" customWidth="1"/>
    <col min="2" max="11" width="20.7109375" style="1" customWidth="1"/>
    <col min="12" max="22" width="20.7109375" style="1" hidden="1" customWidth="1"/>
    <col min="23" max="23" width="21.140625" style="1" hidden="1" customWidth="1"/>
    <col min="24" max="53" width="20.7109375" style="1" hidden="1" customWidth="1"/>
    <col min="54" max="64" width="20.7109375" style="1" customWidth="1"/>
    <col min="65" max="255" width="8.85546875" style="1"/>
    <col min="256" max="256" width="11.85546875" style="1" customWidth="1"/>
    <col min="257" max="257" width="15" style="1" customWidth="1"/>
    <col min="258" max="258" width="12.85546875" style="1" customWidth="1"/>
    <col min="259" max="259" width="13.5703125" style="1" customWidth="1"/>
    <col min="260" max="260" width="14.140625" style="1" customWidth="1"/>
    <col min="261" max="261" width="12.5703125" style="1" customWidth="1"/>
    <col min="262" max="262" width="13.28515625" style="1" customWidth="1"/>
    <col min="263" max="511" width="8.85546875" style="1"/>
    <col min="512" max="512" width="11.85546875" style="1" customWidth="1"/>
    <col min="513" max="513" width="15" style="1" customWidth="1"/>
    <col min="514" max="514" width="12.85546875" style="1" customWidth="1"/>
    <col min="515" max="515" width="13.5703125" style="1" customWidth="1"/>
    <col min="516" max="516" width="14.140625" style="1" customWidth="1"/>
    <col min="517" max="517" width="12.5703125" style="1" customWidth="1"/>
    <col min="518" max="518" width="13.28515625" style="1" customWidth="1"/>
    <col min="519" max="767" width="8.85546875" style="1"/>
    <col min="768" max="768" width="11.85546875" style="1" customWidth="1"/>
    <col min="769" max="769" width="15" style="1" customWidth="1"/>
    <col min="770" max="770" width="12.85546875" style="1" customWidth="1"/>
    <col min="771" max="771" width="13.5703125" style="1" customWidth="1"/>
    <col min="772" max="772" width="14.140625" style="1" customWidth="1"/>
    <col min="773" max="773" width="12.5703125" style="1" customWidth="1"/>
    <col min="774" max="774" width="13.28515625" style="1" customWidth="1"/>
    <col min="775" max="1023" width="8.85546875" style="1"/>
    <col min="1024" max="1024" width="11.85546875" style="1" customWidth="1"/>
    <col min="1025" max="1025" width="15" style="1" customWidth="1"/>
    <col min="1026" max="1026" width="12.85546875" style="1" customWidth="1"/>
    <col min="1027" max="1027" width="13.5703125" style="1" customWidth="1"/>
    <col min="1028" max="1028" width="14.140625" style="1" customWidth="1"/>
    <col min="1029" max="1029" width="12.5703125" style="1" customWidth="1"/>
    <col min="1030" max="1030" width="13.28515625" style="1" customWidth="1"/>
    <col min="1031" max="1279" width="8.85546875" style="1"/>
    <col min="1280" max="1280" width="11.85546875" style="1" customWidth="1"/>
    <col min="1281" max="1281" width="15" style="1" customWidth="1"/>
    <col min="1282" max="1282" width="12.85546875" style="1" customWidth="1"/>
    <col min="1283" max="1283" width="13.5703125" style="1" customWidth="1"/>
    <col min="1284" max="1284" width="14.140625" style="1" customWidth="1"/>
    <col min="1285" max="1285" width="12.5703125" style="1" customWidth="1"/>
    <col min="1286" max="1286" width="13.28515625" style="1" customWidth="1"/>
    <col min="1287" max="1535" width="8.85546875" style="1"/>
    <col min="1536" max="1536" width="11.85546875" style="1" customWidth="1"/>
    <col min="1537" max="1537" width="15" style="1" customWidth="1"/>
    <col min="1538" max="1538" width="12.85546875" style="1" customWidth="1"/>
    <col min="1539" max="1539" width="13.5703125" style="1" customWidth="1"/>
    <col min="1540" max="1540" width="14.140625" style="1" customWidth="1"/>
    <col min="1541" max="1541" width="12.5703125" style="1" customWidth="1"/>
    <col min="1542" max="1542" width="13.28515625" style="1" customWidth="1"/>
    <col min="1543" max="1791" width="8.85546875" style="1"/>
    <col min="1792" max="1792" width="11.85546875" style="1" customWidth="1"/>
    <col min="1793" max="1793" width="15" style="1" customWidth="1"/>
    <col min="1794" max="1794" width="12.85546875" style="1" customWidth="1"/>
    <col min="1795" max="1795" width="13.5703125" style="1" customWidth="1"/>
    <col min="1796" max="1796" width="14.140625" style="1" customWidth="1"/>
    <col min="1797" max="1797" width="12.5703125" style="1" customWidth="1"/>
    <col min="1798" max="1798" width="13.28515625" style="1" customWidth="1"/>
    <col min="1799" max="2047" width="8.85546875" style="1"/>
    <col min="2048" max="2048" width="11.85546875" style="1" customWidth="1"/>
    <col min="2049" max="2049" width="15" style="1" customWidth="1"/>
    <col min="2050" max="2050" width="12.85546875" style="1" customWidth="1"/>
    <col min="2051" max="2051" width="13.5703125" style="1" customWidth="1"/>
    <col min="2052" max="2052" width="14.140625" style="1" customWidth="1"/>
    <col min="2053" max="2053" width="12.5703125" style="1" customWidth="1"/>
    <col min="2054" max="2054" width="13.28515625" style="1" customWidth="1"/>
    <col min="2055" max="2303" width="8.85546875" style="1"/>
    <col min="2304" max="2304" width="11.85546875" style="1" customWidth="1"/>
    <col min="2305" max="2305" width="15" style="1" customWidth="1"/>
    <col min="2306" max="2306" width="12.85546875" style="1" customWidth="1"/>
    <col min="2307" max="2307" width="13.5703125" style="1" customWidth="1"/>
    <col min="2308" max="2308" width="14.140625" style="1" customWidth="1"/>
    <col min="2309" max="2309" width="12.5703125" style="1" customWidth="1"/>
    <col min="2310" max="2310" width="13.28515625" style="1" customWidth="1"/>
    <col min="2311" max="2559" width="8.85546875" style="1"/>
    <col min="2560" max="2560" width="11.85546875" style="1" customWidth="1"/>
    <col min="2561" max="2561" width="15" style="1" customWidth="1"/>
    <col min="2562" max="2562" width="12.85546875" style="1" customWidth="1"/>
    <col min="2563" max="2563" width="13.5703125" style="1" customWidth="1"/>
    <col min="2564" max="2564" width="14.140625" style="1" customWidth="1"/>
    <col min="2565" max="2565" width="12.5703125" style="1" customWidth="1"/>
    <col min="2566" max="2566" width="13.28515625" style="1" customWidth="1"/>
    <col min="2567" max="2815" width="8.85546875" style="1"/>
    <col min="2816" max="2816" width="11.85546875" style="1" customWidth="1"/>
    <col min="2817" max="2817" width="15" style="1" customWidth="1"/>
    <col min="2818" max="2818" width="12.85546875" style="1" customWidth="1"/>
    <col min="2819" max="2819" width="13.5703125" style="1" customWidth="1"/>
    <col min="2820" max="2820" width="14.140625" style="1" customWidth="1"/>
    <col min="2821" max="2821" width="12.5703125" style="1" customWidth="1"/>
    <col min="2822" max="2822" width="13.28515625" style="1" customWidth="1"/>
    <col min="2823" max="3071" width="8.85546875" style="1"/>
    <col min="3072" max="3072" width="11.85546875" style="1" customWidth="1"/>
    <col min="3073" max="3073" width="15" style="1" customWidth="1"/>
    <col min="3074" max="3074" width="12.85546875" style="1" customWidth="1"/>
    <col min="3075" max="3075" width="13.5703125" style="1" customWidth="1"/>
    <col min="3076" max="3076" width="14.140625" style="1" customWidth="1"/>
    <col min="3077" max="3077" width="12.5703125" style="1" customWidth="1"/>
    <col min="3078" max="3078" width="13.28515625" style="1" customWidth="1"/>
    <col min="3079" max="3327" width="8.85546875" style="1"/>
    <col min="3328" max="3328" width="11.85546875" style="1" customWidth="1"/>
    <col min="3329" max="3329" width="15" style="1" customWidth="1"/>
    <col min="3330" max="3330" width="12.85546875" style="1" customWidth="1"/>
    <col min="3331" max="3331" width="13.5703125" style="1" customWidth="1"/>
    <col min="3332" max="3332" width="14.140625" style="1" customWidth="1"/>
    <col min="3333" max="3333" width="12.5703125" style="1" customWidth="1"/>
    <col min="3334" max="3334" width="13.28515625" style="1" customWidth="1"/>
    <col min="3335" max="3583" width="8.85546875" style="1"/>
    <col min="3584" max="3584" width="11.85546875" style="1" customWidth="1"/>
    <col min="3585" max="3585" width="15" style="1" customWidth="1"/>
    <col min="3586" max="3586" width="12.85546875" style="1" customWidth="1"/>
    <col min="3587" max="3587" width="13.5703125" style="1" customWidth="1"/>
    <col min="3588" max="3588" width="14.140625" style="1" customWidth="1"/>
    <col min="3589" max="3589" width="12.5703125" style="1" customWidth="1"/>
    <col min="3590" max="3590" width="13.28515625" style="1" customWidth="1"/>
    <col min="3591" max="3839" width="8.85546875" style="1"/>
    <col min="3840" max="3840" width="11.85546875" style="1" customWidth="1"/>
    <col min="3841" max="3841" width="15" style="1" customWidth="1"/>
    <col min="3842" max="3842" width="12.85546875" style="1" customWidth="1"/>
    <col min="3843" max="3843" width="13.5703125" style="1" customWidth="1"/>
    <col min="3844" max="3844" width="14.140625" style="1" customWidth="1"/>
    <col min="3845" max="3845" width="12.5703125" style="1" customWidth="1"/>
    <col min="3846" max="3846" width="13.28515625" style="1" customWidth="1"/>
    <col min="3847" max="4095" width="8.85546875" style="1"/>
    <col min="4096" max="4096" width="11.85546875" style="1" customWidth="1"/>
    <col min="4097" max="4097" width="15" style="1" customWidth="1"/>
    <col min="4098" max="4098" width="12.85546875" style="1" customWidth="1"/>
    <col min="4099" max="4099" width="13.5703125" style="1" customWidth="1"/>
    <col min="4100" max="4100" width="14.140625" style="1" customWidth="1"/>
    <col min="4101" max="4101" width="12.5703125" style="1" customWidth="1"/>
    <col min="4102" max="4102" width="13.28515625" style="1" customWidth="1"/>
    <col min="4103" max="4351" width="8.85546875" style="1"/>
    <col min="4352" max="4352" width="11.85546875" style="1" customWidth="1"/>
    <col min="4353" max="4353" width="15" style="1" customWidth="1"/>
    <col min="4354" max="4354" width="12.85546875" style="1" customWidth="1"/>
    <col min="4355" max="4355" width="13.5703125" style="1" customWidth="1"/>
    <col min="4356" max="4356" width="14.140625" style="1" customWidth="1"/>
    <col min="4357" max="4357" width="12.5703125" style="1" customWidth="1"/>
    <col min="4358" max="4358" width="13.28515625" style="1" customWidth="1"/>
    <col min="4359" max="4607" width="8.85546875" style="1"/>
    <col min="4608" max="4608" width="11.85546875" style="1" customWidth="1"/>
    <col min="4609" max="4609" width="15" style="1" customWidth="1"/>
    <col min="4610" max="4610" width="12.85546875" style="1" customWidth="1"/>
    <col min="4611" max="4611" width="13.5703125" style="1" customWidth="1"/>
    <col min="4612" max="4612" width="14.140625" style="1" customWidth="1"/>
    <col min="4613" max="4613" width="12.5703125" style="1" customWidth="1"/>
    <col min="4614" max="4614" width="13.28515625" style="1" customWidth="1"/>
    <col min="4615" max="4863" width="8.85546875" style="1"/>
    <col min="4864" max="4864" width="11.85546875" style="1" customWidth="1"/>
    <col min="4865" max="4865" width="15" style="1" customWidth="1"/>
    <col min="4866" max="4866" width="12.85546875" style="1" customWidth="1"/>
    <col min="4867" max="4867" width="13.5703125" style="1" customWidth="1"/>
    <col min="4868" max="4868" width="14.140625" style="1" customWidth="1"/>
    <col min="4869" max="4869" width="12.5703125" style="1" customWidth="1"/>
    <col min="4870" max="4870" width="13.28515625" style="1" customWidth="1"/>
    <col min="4871" max="5119" width="8.85546875" style="1"/>
    <col min="5120" max="5120" width="11.85546875" style="1" customWidth="1"/>
    <col min="5121" max="5121" width="15" style="1" customWidth="1"/>
    <col min="5122" max="5122" width="12.85546875" style="1" customWidth="1"/>
    <col min="5123" max="5123" width="13.5703125" style="1" customWidth="1"/>
    <col min="5124" max="5124" width="14.140625" style="1" customWidth="1"/>
    <col min="5125" max="5125" width="12.5703125" style="1" customWidth="1"/>
    <col min="5126" max="5126" width="13.28515625" style="1" customWidth="1"/>
    <col min="5127" max="5375" width="8.85546875" style="1"/>
    <col min="5376" max="5376" width="11.85546875" style="1" customWidth="1"/>
    <col min="5377" max="5377" width="15" style="1" customWidth="1"/>
    <col min="5378" max="5378" width="12.85546875" style="1" customWidth="1"/>
    <col min="5379" max="5379" width="13.5703125" style="1" customWidth="1"/>
    <col min="5380" max="5380" width="14.140625" style="1" customWidth="1"/>
    <col min="5381" max="5381" width="12.5703125" style="1" customWidth="1"/>
    <col min="5382" max="5382" width="13.28515625" style="1" customWidth="1"/>
    <col min="5383" max="5631" width="8.85546875" style="1"/>
    <col min="5632" max="5632" width="11.85546875" style="1" customWidth="1"/>
    <col min="5633" max="5633" width="15" style="1" customWidth="1"/>
    <col min="5634" max="5634" width="12.85546875" style="1" customWidth="1"/>
    <col min="5635" max="5635" width="13.5703125" style="1" customWidth="1"/>
    <col min="5636" max="5636" width="14.140625" style="1" customWidth="1"/>
    <col min="5637" max="5637" width="12.5703125" style="1" customWidth="1"/>
    <col min="5638" max="5638" width="13.28515625" style="1" customWidth="1"/>
    <col min="5639" max="5887" width="8.85546875" style="1"/>
    <col min="5888" max="5888" width="11.85546875" style="1" customWidth="1"/>
    <col min="5889" max="5889" width="15" style="1" customWidth="1"/>
    <col min="5890" max="5890" width="12.85546875" style="1" customWidth="1"/>
    <col min="5891" max="5891" width="13.5703125" style="1" customWidth="1"/>
    <col min="5892" max="5892" width="14.140625" style="1" customWidth="1"/>
    <col min="5893" max="5893" width="12.5703125" style="1" customWidth="1"/>
    <col min="5894" max="5894" width="13.28515625" style="1" customWidth="1"/>
    <col min="5895" max="6143" width="8.85546875" style="1"/>
    <col min="6144" max="6144" width="11.85546875" style="1" customWidth="1"/>
    <col min="6145" max="6145" width="15" style="1" customWidth="1"/>
    <col min="6146" max="6146" width="12.85546875" style="1" customWidth="1"/>
    <col min="6147" max="6147" width="13.5703125" style="1" customWidth="1"/>
    <col min="6148" max="6148" width="14.140625" style="1" customWidth="1"/>
    <col min="6149" max="6149" width="12.5703125" style="1" customWidth="1"/>
    <col min="6150" max="6150" width="13.28515625" style="1" customWidth="1"/>
    <col min="6151" max="6399" width="8.85546875" style="1"/>
    <col min="6400" max="6400" width="11.85546875" style="1" customWidth="1"/>
    <col min="6401" max="6401" width="15" style="1" customWidth="1"/>
    <col min="6402" max="6402" width="12.85546875" style="1" customWidth="1"/>
    <col min="6403" max="6403" width="13.5703125" style="1" customWidth="1"/>
    <col min="6404" max="6404" width="14.140625" style="1" customWidth="1"/>
    <col min="6405" max="6405" width="12.5703125" style="1" customWidth="1"/>
    <col min="6406" max="6406" width="13.28515625" style="1" customWidth="1"/>
    <col min="6407" max="6655" width="8.85546875" style="1"/>
    <col min="6656" max="6656" width="11.85546875" style="1" customWidth="1"/>
    <col min="6657" max="6657" width="15" style="1" customWidth="1"/>
    <col min="6658" max="6658" width="12.85546875" style="1" customWidth="1"/>
    <col min="6659" max="6659" width="13.5703125" style="1" customWidth="1"/>
    <col min="6660" max="6660" width="14.140625" style="1" customWidth="1"/>
    <col min="6661" max="6661" width="12.5703125" style="1" customWidth="1"/>
    <col min="6662" max="6662" width="13.28515625" style="1" customWidth="1"/>
    <col min="6663" max="6911" width="8.85546875" style="1"/>
    <col min="6912" max="6912" width="11.85546875" style="1" customWidth="1"/>
    <col min="6913" max="6913" width="15" style="1" customWidth="1"/>
    <col min="6914" max="6914" width="12.85546875" style="1" customWidth="1"/>
    <col min="6915" max="6915" width="13.5703125" style="1" customWidth="1"/>
    <col min="6916" max="6916" width="14.140625" style="1" customWidth="1"/>
    <col min="6917" max="6917" width="12.5703125" style="1" customWidth="1"/>
    <col min="6918" max="6918" width="13.28515625" style="1" customWidth="1"/>
    <col min="6919" max="7167" width="8.85546875" style="1"/>
    <col min="7168" max="7168" width="11.85546875" style="1" customWidth="1"/>
    <col min="7169" max="7169" width="15" style="1" customWidth="1"/>
    <col min="7170" max="7170" width="12.85546875" style="1" customWidth="1"/>
    <col min="7171" max="7171" width="13.5703125" style="1" customWidth="1"/>
    <col min="7172" max="7172" width="14.140625" style="1" customWidth="1"/>
    <col min="7173" max="7173" width="12.5703125" style="1" customWidth="1"/>
    <col min="7174" max="7174" width="13.28515625" style="1" customWidth="1"/>
    <col min="7175" max="7423" width="8.85546875" style="1"/>
    <col min="7424" max="7424" width="11.85546875" style="1" customWidth="1"/>
    <col min="7425" max="7425" width="15" style="1" customWidth="1"/>
    <col min="7426" max="7426" width="12.85546875" style="1" customWidth="1"/>
    <col min="7427" max="7427" width="13.5703125" style="1" customWidth="1"/>
    <col min="7428" max="7428" width="14.140625" style="1" customWidth="1"/>
    <col min="7429" max="7429" width="12.5703125" style="1" customWidth="1"/>
    <col min="7430" max="7430" width="13.28515625" style="1" customWidth="1"/>
    <col min="7431" max="7679" width="8.85546875" style="1"/>
    <col min="7680" max="7680" width="11.85546875" style="1" customWidth="1"/>
    <col min="7681" max="7681" width="15" style="1" customWidth="1"/>
    <col min="7682" max="7682" width="12.85546875" style="1" customWidth="1"/>
    <col min="7683" max="7683" width="13.5703125" style="1" customWidth="1"/>
    <col min="7684" max="7684" width="14.140625" style="1" customWidth="1"/>
    <col min="7685" max="7685" width="12.5703125" style="1" customWidth="1"/>
    <col min="7686" max="7686" width="13.28515625" style="1" customWidth="1"/>
    <col min="7687" max="7935" width="8.85546875" style="1"/>
    <col min="7936" max="7936" width="11.85546875" style="1" customWidth="1"/>
    <col min="7937" max="7937" width="15" style="1" customWidth="1"/>
    <col min="7938" max="7938" width="12.85546875" style="1" customWidth="1"/>
    <col min="7939" max="7939" width="13.5703125" style="1" customWidth="1"/>
    <col min="7940" max="7940" width="14.140625" style="1" customWidth="1"/>
    <col min="7941" max="7941" width="12.5703125" style="1" customWidth="1"/>
    <col min="7942" max="7942" width="13.28515625" style="1" customWidth="1"/>
    <col min="7943" max="8191" width="8.85546875" style="1"/>
    <col min="8192" max="8192" width="11.85546875" style="1" customWidth="1"/>
    <col min="8193" max="8193" width="15" style="1" customWidth="1"/>
    <col min="8194" max="8194" width="12.85546875" style="1" customWidth="1"/>
    <col min="8195" max="8195" width="13.5703125" style="1" customWidth="1"/>
    <col min="8196" max="8196" width="14.140625" style="1" customWidth="1"/>
    <col min="8197" max="8197" width="12.5703125" style="1" customWidth="1"/>
    <col min="8198" max="8198" width="13.28515625" style="1" customWidth="1"/>
    <col min="8199" max="8447" width="8.85546875" style="1"/>
    <col min="8448" max="8448" width="11.85546875" style="1" customWidth="1"/>
    <col min="8449" max="8449" width="15" style="1" customWidth="1"/>
    <col min="8450" max="8450" width="12.85546875" style="1" customWidth="1"/>
    <col min="8451" max="8451" width="13.5703125" style="1" customWidth="1"/>
    <col min="8452" max="8452" width="14.140625" style="1" customWidth="1"/>
    <col min="8453" max="8453" width="12.5703125" style="1" customWidth="1"/>
    <col min="8454" max="8454" width="13.28515625" style="1" customWidth="1"/>
    <col min="8455" max="8703" width="8.85546875" style="1"/>
    <col min="8704" max="8704" width="11.85546875" style="1" customWidth="1"/>
    <col min="8705" max="8705" width="15" style="1" customWidth="1"/>
    <col min="8706" max="8706" width="12.85546875" style="1" customWidth="1"/>
    <col min="8707" max="8707" width="13.5703125" style="1" customWidth="1"/>
    <col min="8708" max="8708" width="14.140625" style="1" customWidth="1"/>
    <col min="8709" max="8709" width="12.5703125" style="1" customWidth="1"/>
    <col min="8710" max="8710" width="13.28515625" style="1" customWidth="1"/>
    <col min="8711" max="8959" width="8.85546875" style="1"/>
    <col min="8960" max="8960" width="11.85546875" style="1" customWidth="1"/>
    <col min="8961" max="8961" width="15" style="1" customWidth="1"/>
    <col min="8962" max="8962" width="12.85546875" style="1" customWidth="1"/>
    <col min="8963" max="8963" width="13.5703125" style="1" customWidth="1"/>
    <col min="8964" max="8964" width="14.140625" style="1" customWidth="1"/>
    <col min="8965" max="8965" width="12.5703125" style="1" customWidth="1"/>
    <col min="8966" max="8966" width="13.28515625" style="1" customWidth="1"/>
    <col min="8967" max="9215" width="8.85546875" style="1"/>
    <col min="9216" max="9216" width="11.85546875" style="1" customWidth="1"/>
    <col min="9217" max="9217" width="15" style="1" customWidth="1"/>
    <col min="9218" max="9218" width="12.85546875" style="1" customWidth="1"/>
    <col min="9219" max="9219" width="13.5703125" style="1" customWidth="1"/>
    <col min="9220" max="9220" width="14.140625" style="1" customWidth="1"/>
    <col min="9221" max="9221" width="12.5703125" style="1" customWidth="1"/>
    <col min="9222" max="9222" width="13.28515625" style="1" customWidth="1"/>
    <col min="9223" max="9471" width="8.85546875" style="1"/>
    <col min="9472" max="9472" width="11.85546875" style="1" customWidth="1"/>
    <col min="9473" max="9473" width="15" style="1" customWidth="1"/>
    <col min="9474" max="9474" width="12.85546875" style="1" customWidth="1"/>
    <col min="9475" max="9475" width="13.5703125" style="1" customWidth="1"/>
    <col min="9476" max="9476" width="14.140625" style="1" customWidth="1"/>
    <col min="9477" max="9477" width="12.5703125" style="1" customWidth="1"/>
    <col min="9478" max="9478" width="13.28515625" style="1" customWidth="1"/>
    <col min="9479" max="9727" width="8.85546875" style="1"/>
    <col min="9728" max="9728" width="11.85546875" style="1" customWidth="1"/>
    <col min="9729" max="9729" width="15" style="1" customWidth="1"/>
    <col min="9730" max="9730" width="12.85546875" style="1" customWidth="1"/>
    <col min="9731" max="9731" width="13.5703125" style="1" customWidth="1"/>
    <col min="9732" max="9732" width="14.140625" style="1" customWidth="1"/>
    <col min="9733" max="9733" width="12.5703125" style="1" customWidth="1"/>
    <col min="9734" max="9734" width="13.28515625" style="1" customWidth="1"/>
    <col min="9735" max="9983" width="8.85546875" style="1"/>
    <col min="9984" max="9984" width="11.85546875" style="1" customWidth="1"/>
    <col min="9985" max="9985" width="15" style="1" customWidth="1"/>
    <col min="9986" max="9986" width="12.85546875" style="1" customWidth="1"/>
    <col min="9987" max="9987" width="13.5703125" style="1" customWidth="1"/>
    <col min="9988" max="9988" width="14.140625" style="1" customWidth="1"/>
    <col min="9989" max="9989" width="12.5703125" style="1" customWidth="1"/>
    <col min="9990" max="9990" width="13.28515625" style="1" customWidth="1"/>
    <col min="9991" max="10239" width="8.85546875" style="1"/>
    <col min="10240" max="10240" width="11.85546875" style="1" customWidth="1"/>
    <col min="10241" max="10241" width="15" style="1" customWidth="1"/>
    <col min="10242" max="10242" width="12.85546875" style="1" customWidth="1"/>
    <col min="10243" max="10243" width="13.5703125" style="1" customWidth="1"/>
    <col min="10244" max="10244" width="14.140625" style="1" customWidth="1"/>
    <col min="10245" max="10245" width="12.5703125" style="1" customWidth="1"/>
    <col min="10246" max="10246" width="13.28515625" style="1" customWidth="1"/>
    <col min="10247" max="10495" width="8.85546875" style="1"/>
    <col min="10496" max="10496" width="11.85546875" style="1" customWidth="1"/>
    <col min="10497" max="10497" width="15" style="1" customWidth="1"/>
    <col min="10498" max="10498" width="12.85546875" style="1" customWidth="1"/>
    <col min="10499" max="10499" width="13.5703125" style="1" customWidth="1"/>
    <col min="10500" max="10500" width="14.140625" style="1" customWidth="1"/>
    <col min="10501" max="10501" width="12.5703125" style="1" customWidth="1"/>
    <col min="10502" max="10502" width="13.28515625" style="1" customWidth="1"/>
    <col min="10503" max="10751" width="8.85546875" style="1"/>
    <col min="10752" max="10752" width="11.85546875" style="1" customWidth="1"/>
    <col min="10753" max="10753" width="15" style="1" customWidth="1"/>
    <col min="10754" max="10754" width="12.85546875" style="1" customWidth="1"/>
    <col min="10755" max="10755" width="13.5703125" style="1" customWidth="1"/>
    <col min="10756" max="10756" width="14.140625" style="1" customWidth="1"/>
    <col min="10757" max="10757" width="12.5703125" style="1" customWidth="1"/>
    <col min="10758" max="10758" width="13.28515625" style="1" customWidth="1"/>
    <col min="10759" max="11007" width="8.85546875" style="1"/>
    <col min="11008" max="11008" width="11.85546875" style="1" customWidth="1"/>
    <col min="11009" max="11009" width="15" style="1" customWidth="1"/>
    <col min="11010" max="11010" width="12.85546875" style="1" customWidth="1"/>
    <col min="11011" max="11011" width="13.5703125" style="1" customWidth="1"/>
    <col min="11012" max="11012" width="14.140625" style="1" customWidth="1"/>
    <col min="11013" max="11013" width="12.5703125" style="1" customWidth="1"/>
    <col min="11014" max="11014" width="13.28515625" style="1" customWidth="1"/>
    <col min="11015" max="11263" width="8.85546875" style="1"/>
    <col min="11264" max="11264" width="11.85546875" style="1" customWidth="1"/>
    <col min="11265" max="11265" width="15" style="1" customWidth="1"/>
    <col min="11266" max="11266" width="12.85546875" style="1" customWidth="1"/>
    <col min="11267" max="11267" width="13.5703125" style="1" customWidth="1"/>
    <col min="11268" max="11268" width="14.140625" style="1" customWidth="1"/>
    <col min="11269" max="11269" width="12.5703125" style="1" customWidth="1"/>
    <col min="11270" max="11270" width="13.28515625" style="1" customWidth="1"/>
    <col min="11271" max="11519" width="8.85546875" style="1"/>
    <col min="11520" max="11520" width="11.85546875" style="1" customWidth="1"/>
    <col min="11521" max="11521" width="15" style="1" customWidth="1"/>
    <col min="11522" max="11522" width="12.85546875" style="1" customWidth="1"/>
    <col min="11523" max="11523" width="13.5703125" style="1" customWidth="1"/>
    <col min="11524" max="11524" width="14.140625" style="1" customWidth="1"/>
    <col min="11525" max="11525" width="12.5703125" style="1" customWidth="1"/>
    <col min="11526" max="11526" width="13.28515625" style="1" customWidth="1"/>
    <col min="11527" max="11775" width="8.85546875" style="1"/>
    <col min="11776" max="11776" width="11.85546875" style="1" customWidth="1"/>
    <col min="11777" max="11777" width="15" style="1" customWidth="1"/>
    <col min="11778" max="11778" width="12.85546875" style="1" customWidth="1"/>
    <col min="11779" max="11779" width="13.5703125" style="1" customWidth="1"/>
    <col min="11780" max="11780" width="14.140625" style="1" customWidth="1"/>
    <col min="11781" max="11781" width="12.5703125" style="1" customWidth="1"/>
    <col min="11782" max="11782" width="13.28515625" style="1" customWidth="1"/>
    <col min="11783" max="12031" width="8.85546875" style="1"/>
    <col min="12032" max="12032" width="11.85546875" style="1" customWidth="1"/>
    <col min="12033" max="12033" width="15" style="1" customWidth="1"/>
    <col min="12034" max="12034" width="12.85546875" style="1" customWidth="1"/>
    <col min="12035" max="12035" width="13.5703125" style="1" customWidth="1"/>
    <col min="12036" max="12036" width="14.140625" style="1" customWidth="1"/>
    <col min="12037" max="12037" width="12.5703125" style="1" customWidth="1"/>
    <col min="12038" max="12038" width="13.28515625" style="1" customWidth="1"/>
    <col min="12039" max="12287" width="8.85546875" style="1"/>
    <col min="12288" max="12288" width="11.85546875" style="1" customWidth="1"/>
    <col min="12289" max="12289" width="15" style="1" customWidth="1"/>
    <col min="12290" max="12290" width="12.85546875" style="1" customWidth="1"/>
    <col min="12291" max="12291" width="13.5703125" style="1" customWidth="1"/>
    <col min="12292" max="12292" width="14.140625" style="1" customWidth="1"/>
    <col min="12293" max="12293" width="12.5703125" style="1" customWidth="1"/>
    <col min="12294" max="12294" width="13.28515625" style="1" customWidth="1"/>
    <col min="12295" max="12543" width="8.85546875" style="1"/>
    <col min="12544" max="12544" width="11.85546875" style="1" customWidth="1"/>
    <col min="12545" max="12545" width="15" style="1" customWidth="1"/>
    <col min="12546" max="12546" width="12.85546875" style="1" customWidth="1"/>
    <col min="12547" max="12547" width="13.5703125" style="1" customWidth="1"/>
    <col min="12548" max="12548" width="14.140625" style="1" customWidth="1"/>
    <col min="12549" max="12549" width="12.5703125" style="1" customWidth="1"/>
    <col min="12550" max="12550" width="13.28515625" style="1" customWidth="1"/>
    <col min="12551" max="12799" width="8.85546875" style="1"/>
    <col min="12800" max="12800" width="11.85546875" style="1" customWidth="1"/>
    <col min="12801" max="12801" width="15" style="1" customWidth="1"/>
    <col min="12802" max="12802" width="12.85546875" style="1" customWidth="1"/>
    <col min="12803" max="12803" width="13.5703125" style="1" customWidth="1"/>
    <col min="12804" max="12804" width="14.140625" style="1" customWidth="1"/>
    <col min="12805" max="12805" width="12.5703125" style="1" customWidth="1"/>
    <col min="12806" max="12806" width="13.28515625" style="1" customWidth="1"/>
    <col min="12807" max="13055" width="8.85546875" style="1"/>
    <col min="13056" max="13056" width="11.85546875" style="1" customWidth="1"/>
    <col min="13057" max="13057" width="15" style="1" customWidth="1"/>
    <col min="13058" max="13058" width="12.85546875" style="1" customWidth="1"/>
    <col min="13059" max="13059" width="13.5703125" style="1" customWidth="1"/>
    <col min="13060" max="13060" width="14.140625" style="1" customWidth="1"/>
    <col min="13061" max="13061" width="12.5703125" style="1" customWidth="1"/>
    <col min="13062" max="13062" width="13.28515625" style="1" customWidth="1"/>
    <col min="13063" max="13311" width="8.85546875" style="1"/>
    <col min="13312" max="13312" width="11.85546875" style="1" customWidth="1"/>
    <col min="13313" max="13313" width="15" style="1" customWidth="1"/>
    <col min="13314" max="13314" width="12.85546875" style="1" customWidth="1"/>
    <col min="13315" max="13315" width="13.5703125" style="1" customWidth="1"/>
    <col min="13316" max="13316" width="14.140625" style="1" customWidth="1"/>
    <col min="13317" max="13317" width="12.5703125" style="1" customWidth="1"/>
    <col min="13318" max="13318" width="13.28515625" style="1" customWidth="1"/>
    <col min="13319" max="13567" width="8.85546875" style="1"/>
    <col min="13568" max="13568" width="11.85546875" style="1" customWidth="1"/>
    <col min="13569" max="13569" width="15" style="1" customWidth="1"/>
    <col min="13570" max="13570" width="12.85546875" style="1" customWidth="1"/>
    <col min="13571" max="13571" width="13.5703125" style="1" customWidth="1"/>
    <col min="13572" max="13572" width="14.140625" style="1" customWidth="1"/>
    <col min="13573" max="13573" width="12.5703125" style="1" customWidth="1"/>
    <col min="13574" max="13574" width="13.28515625" style="1" customWidth="1"/>
    <col min="13575" max="13823" width="8.85546875" style="1"/>
    <col min="13824" max="13824" width="11.85546875" style="1" customWidth="1"/>
    <col min="13825" max="13825" width="15" style="1" customWidth="1"/>
    <col min="13826" max="13826" width="12.85546875" style="1" customWidth="1"/>
    <col min="13827" max="13827" width="13.5703125" style="1" customWidth="1"/>
    <col min="13828" max="13828" width="14.140625" style="1" customWidth="1"/>
    <col min="13829" max="13829" width="12.5703125" style="1" customWidth="1"/>
    <col min="13830" max="13830" width="13.28515625" style="1" customWidth="1"/>
    <col min="13831" max="14079" width="8.85546875" style="1"/>
    <col min="14080" max="14080" width="11.85546875" style="1" customWidth="1"/>
    <col min="14081" max="14081" width="15" style="1" customWidth="1"/>
    <col min="14082" max="14082" width="12.85546875" style="1" customWidth="1"/>
    <col min="14083" max="14083" width="13.5703125" style="1" customWidth="1"/>
    <col min="14084" max="14084" width="14.140625" style="1" customWidth="1"/>
    <col min="14085" max="14085" width="12.5703125" style="1" customWidth="1"/>
    <col min="14086" max="14086" width="13.28515625" style="1" customWidth="1"/>
    <col min="14087" max="14335" width="8.85546875" style="1"/>
    <col min="14336" max="14336" width="11.85546875" style="1" customWidth="1"/>
    <col min="14337" max="14337" width="15" style="1" customWidth="1"/>
    <col min="14338" max="14338" width="12.85546875" style="1" customWidth="1"/>
    <col min="14339" max="14339" width="13.5703125" style="1" customWidth="1"/>
    <col min="14340" max="14340" width="14.140625" style="1" customWidth="1"/>
    <col min="14341" max="14341" width="12.5703125" style="1" customWidth="1"/>
    <col min="14342" max="14342" width="13.28515625" style="1" customWidth="1"/>
    <col min="14343" max="14591" width="8.85546875" style="1"/>
    <col min="14592" max="14592" width="11.85546875" style="1" customWidth="1"/>
    <col min="14593" max="14593" width="15" style="1" customWidth="1"/>
    <col min="14594" max="14594" width="12.85546875" style="1" customWidth="1"/>
    <col min="14595" max="14595" width="13.5703125" style="1" customWidth="1"/>
    <col min="14596" max="14596" width="14.140625" style="1" customWidth="1"/>
    <col min="14597" max="14597" width="12.5703125" style="1" customWidth="1"/>
    <col min="14598" max="14598" width="13.28515625" style="1" customWidth="1"/>
    <col min="14599" max="14847" width="8.85546875" style="1"/>
    <col min="14848" max="14848" width="11.85546875" style="1" customWidth="1"/>
    <col min="14849" max="14849" width="15" style="1" customWidth="1"/>
    <col min="14850" max="14850" width="12.85546875" style="1" customWidth="1"/>
    <col min="14851" max="14851" width="13.5703125" style="1" customWidth="1"/>
    <col min="14852" max="14852" width="14.140625" style="1" customWidth="1"/>
    <col min="14853" max="14853" width="12.5703125" style="1" customWidth="1"/>
    <col min="14854" max="14854" width="13.28515625" style="1" customWidth="1"/>
    <col min="14855" max="15103" width="8.85546875" style="1"/>
    <col min="15104" max="15104" width="11.85546875" style="1" customWidth="1"/>
    <col min="15105" max="15105" width="15" style="1" customWidth="1"/>
    <col min="15106" max="15106" width="12.85546875" style="1" customWidth="1"/>
    <col min="15107" max="15107" width="13.5703125" style="1" customWidth="1"/>
    <col min="15108" max="15108" width="14.140625" style="1" customWidth="1"/>
    <col min="15109" max="15109" width="12.5703125" style="1" customWidth="1"/>
    <col min="15110" max="15110" width="13.28515625" style="1" customWidth="1"/>
    <col min="15111" max="15359" width="8.85546875" style="1"/>
    <col min="15360" max="15360" width="11.85546875" style="1" customWidth="1"/>
    <col min="15361" max="15361" width="15" style="1" customWidth="1"/>
    <col min="15362" max="15362" width="12.85546875" style="1" customWidth="1"/>
    <col min="15363" max="15363" width="13.5703125" style="1" customWidth="1"/>
    <col min="15364" max="15364" width="14.140625" style="1" customWidth="1"/>
    <col min="15365" max="15365" width="12.5703125" style="1" customWidth="1"/>
    <col min="15366" max="15366" width="13.28515625" style="1" customWidth="1"/>
    <col min="15367" max="15615" width="8.85546875" style="1"/>
    <col min="15616" max="15616" width="11.85546875" style="1" customWidth="1"/>
    <col min="15617" max="15617" width="15" style="1" customWidth="1"/>
    <col min="15618" max="15618" width="12.85546875" style="1" customWidth="1"/>
    <col min="15619" max="15619" width="13.5703125" style="1" customWidth="1"/>
    <col min="15620" max="15620" width="14.140625" style="1" customWidth="1"/>
    <col min="15621" max="15621" width="12.5703125" style="1" customWidth="1"/>
    <col min="15622" max="15622" width="13.28515625" style="1" customWidth="1"/>
    <col min="15623" max="15871" width="8.85546875" style="1"/>
    <col min="15872" max="15872" width="11.85546875" style="1" customWidth="1"/>
    <col min="15873" max="15873" width="15" style="1" customWidth="1"/>
    <col min="15874" max="15874" width="12.85546875" style="1" customWidth="1"/>
    <col min="15875" max="15875" width="13.5703125" style="1" customWidth="1"/>
    <col min="15876" max="15876" width="14.140625" style="1" customWidth="1"/>
    <col min="15877" max="15877" width="12.5703125" style="1" customWidth="1"/>
    <col min="15878" max="15878" width="13.28515625" style="1" customWidth="1"/>
    <col min="15879" max="16127" width="8.85546875" style="1"/>
    <col min="16128" max="16128" width="11.85546875" style="1" customWidth="1"/>
    <col min="16129" max="16129" width="15" style="1" customWidth="1"/>
    <col min="16130" max="16130" width="12.85546875" style="1" customWidth="1"/>
    <col min="16131" max="16131" width="13.5703125" style="1" customWidth="1"/>
    <col min="16132" max="16132" width="14.140625" style="1" customWidth="1"/>
    <col min="16133" max="16133" width="12.5703125" style="1" customWidth="1"/>
    <col min="16134" max="16134" width="13.28515625" style="1" customWidth="1"/>
    <col min="16135" max="16384" width="8.85546875" style="1"/>
  </cols>
  <sheetData>
    <row r="1" spans="1:53" ht="60" customHeight="1" x14ac:dyDescent="0.2">
      <c r="B1" s="13"/>
      <c r="C1" s="13" t="s">
        <v>43</v>
      </c>
    </row>
    <row r="3" spans="1:53" ht="20.100000000000001" customHeight="1" thickBot="1" x14ac:dyDescent="0.35">
      <c r="A3" s="12" t="s">
        <v>2</v>
      </c>
      <c r="B3" s="3"/>
      <c r="C3" s="3"/>
      <c r="D3" s="3"/>
    </row>
    <row r="4" spans="1:53" ht="20.100000000000001" customHeight="1" thickTop="1" thickBot="1" x14ac:dyDescent="0.25">
      <c r="A4" s="51" t="s">
        <v>44</v>
      </c>
      <c r="B4" s="76" t="s">
        <v>45</v>
      </c>
      <c r="C4" s="76" t="s">
        <v>51</v>
      </c>
      <c r="D4" s="99" t="s">
        <v>46</v>
      </c>
      <c r="E4" s="76" t="s">
        <v>51</v>
      </c>
      <c r="F4" s="100" t="s">
        <v>47</v>
      </c>
      <c r="G4" s="100" t="s">
        <v>52</v>
      </c>
      <c r="H4" s="100" t="s">
        <v>135</v>
      </c>
      <c r="I4" s="100" t="s">
        <v>74</v>
      </c>
      <c r="J4" s="100" t="s">
        <v>53</v>
      </c>
      <c r="K4" s="101" t="s">
        <v>77</v>
      </c>
      <c r="L4" s="77" t="s">
        <v>48</v>
      </c>
      <c r="M4" s="30" t="s">
        <v>50</v>
      </c>
      <c r="N4" s="17" t="s">
        <v>49</v>
      </c>
      <c r="O4" s="65"/>
      <c r="P4" s="60" t="s">
        <v>136</v>
      </c>
      <c r="Q4" s="60" t="s">
        <v>63</v>
      </c>
      <c r="R4" s="56" t="s">
        <v>58</v>
      </c>
      <c r="S4" s="60" t="s">
        <v>62</v>
      </c>
      <c r="T4" s="60" t="s">
        <v>74</v>
      </c>
      <c r="U4" s="60" t="s">
        <v>133</v>
      </c>
      <c r="V4" s="60" t="s">
        <v>77</v>
      </c>
      <c r="W4" s="60" t="s">
        <v>81</v>
      </c>
      <c r="X4" s="60" t="s">
        <v>99</v>
      </c>
      <c r="Y4" s="60" t="s">
        <v>100</v>
      </c>
      <c r="Z4" s="60" t="s">
        <v>106</v>
      </c>
      <c r="AA4" s="60" t="s">
        <v>96</v>
      </c>
      <c r="AB4" s="60" t="s">
        <v>97</v>
      </c>
      <c r="AC4" s="60" t="s">
        <v>98</v>
      </c>
      <c r="AD4" s="60" t="s">
        <v>101</v>
      </c>
      <c r="AE4" s="60" t="s">
        <v>102</v>
      </c>
      <c r="AF4" s="60" t="s">
        <v>103</v>
      </c>
      <c r="AG4" s="60" t="s">
        <v>107</v>
      </c>
      <c r="AH4" s="60" t="s">
        <v>104</v>
      </c>
      <c r="AI4" s="60" t="s">
        <v>105</v>
      </c>
      <c r="AJ4" s="60" t="s">
        <v>108</v>
      </c>
      <c r="AK4" s="60" t="s">
        <v>109</v>
      </c>
      <c r="AL4" s="60" t="s">
        <v>120</v>
      </c>
      <c r="AM4" s="60" t="s">
        <v>110</v>
      </c>
      <c r="AN4" s="60" t="s">
        <v>111</v>
      </c>
      <c r="AO4" s="60" t="s">
        <v>112</v>
      </c>
      <c r="AP4" s="60" t="s">
        <v>113</v>
      </c>
      <c r="AQ4" s="60" t="s">
        <v>114</v>
      </c>
      <c r="AR4" s="60" t="s">
        <v>115</v>
      </c>
      <c r="AS4" s="60" t="s">
        <v>116</v>
      </c>
      <c r="AT4" s="60" t="s">
        <v>117</v>
      </c>
      <c r="AU4" s="60" t="s">
        <v>118</v>
      </c>
      <c r="AV4" s="60" t="s">
        <v>119</v>
      </c>
      <c r="AW4" s="60" t="s">
        <v>121</v>
      </c>
      <c r="AX4" s="60" t="s">
        <v>122</v>
      </c>
      <c r="AY4" s="60" t="s">
        <v>123</v>
      </c>
      <c r="AZ4" s="60" t="s">
        <v>124</v>
      </c>
      <c r="BA4" s="60" t="s">
        <v>53</v>
      </c>
    </row>
    <row r="5" spans="1:53" ht="20.100000000000001" customHeight="1" thickTop="1" x14ac:dyDescent="0.2">
      <c r="A5" s="121">
        <v>1</v>
      </c>
      <c r="B5" s="40">
        <v>45086.5</v>
      </c>
      <c r="C5" s="41">
        <v>-5</v>
      </c>
      <c r="D5" s="40">
        <v>45088.416666666664</v>
      </c>
      <c r="E5" s="41">
        <v>-5</v>
      </c>
      <c r="F5" s="42">
        <v>622</v>
      </c>
      <c r="G5" s="42" t="s">
        <v>134</v>
      </c>
      <c r="H5" s="42" t="s">
        <v>6</v>
      </c>
      <c r="I5" s="42" t="s">
        <v>75</v>
      </c>
      <c r="J5" s="42" t="s">
        <v>76</v>
      </c>
      <c r="K5" s="79" t="s">
        <v>78</v>
      </c>
      <c r="L5" s="88">
        <f t="shared" ref="L5:L24" si="0">IF(D5="",0,(D5-E5/24)-(B5-C5/24))</f>
        <v>1.9166666666642413</v>
      </c>
      <c r="M5" s="89">
        <f>L5*24</f>
        <v>45.999999999941792</v>
      </c>
      <c r="N5" s="90">
        <f t="shared" ref="N5:N24" si="1">IF(M5=0,0,F5/M5)</f>
        <v>13.521739130451893</v>
      </c>
      <c r="O5" s="91"/>
      <c r="P5" s="57" t="s">
        <v>137</v>
      </c>
      <c r="Q5" s="57">
        <f t="shared" ref="Q5:Q24" si="2">IF(H5=$P$5,1,IF(H5=$P$6,2,3))</f>
        <v>2</v>
      </c>
      <c r="S5" s="57">
        <f t="shared" ref="S5:S24" si="3">IF(G5=R$5,1,IF(G5=R$6,2,IF(G5=R$7,3,IF(G5=R$8,4,IF(G5=R$9,5,IF(G5=R$10,6,IF(G5=R$11,7,IF(G5=R$12,8,9))))))))</f>
        <v>2</v>
      </c>
      <c r="T5" s="57" t="s">
        <v>75</v>
      </c>
      <c r="U5" s="57">
        <f t="shared" ref="U5:U24" si="4">IF(I5=$T$5,1,IF(I5=$T$6,2,3))</f>
        <v>1</v>
      </c>
      <c r="V5" s="57" t="s">
        <v>78</v>
      </c>
      <c r="W5" s="57">
        <f t="shared" ref="W5:W24" si="5">IF(K5=$V$5,1,IF(K5=$V$6,2,IF(K5=$V$7,3,4)))</f>
        <v>1</v>
      </c>
      <c r="X5" s="57">
        <f>IF(AND(Table1[[#This Row],[Column1]]=2,Table1[[#This Row],[Column3]]=1,Table1[[#This Row],[Column2]]=1),2,0)</f>
        <v>0</v>
      </c>
      <c r="Y5" s="57">
        <f>IF(AND(Table1[[#This Row],[Column1]]=2,Table1[[#This Row],[Column3]]=2,Table1[[#This Row],[Column2]]=1),3,0)</f>
        <v>0</v>
      </c>
      <c r="Z5" s="57">
        <f>IF(AND(Table1[[#This Row],[Column1]]=2,Table1[[#This Row],[Column3]]=3,Table1[[#This Row],[Column2]]=1),4,0)</f>
        <v>0</v>
      </c>
      <c r="AA5" s="57">
        <f>IF(AND(Table1[[#This Row],[Column1]]=2,Table1[[#This Row],[Column3]]=1,Table1[[#This Row],[Column2]]=2),5,0)</f>
        <v>5</v>
      </c>
      <c r="AB5" s="57">
        <f>IF(AND(Table1[[#This Row],[Column1]]=2,Table1[[#This Row],[Column3]]=2,Table1[[#This Row],[Column2]]=2),6,0)</f>
        <v>0</v>
      </c>
      <c r="AC5" s="57">
        <f>IF(AND(Table1[[#This Row],[Column1]]=2,Table1[[#This Row],[Column3]]=3,Table1[[#This Row],[Column2]]=2),7,0)</f>
        <v>0</v>
      </c>
      <c r="AD5" s="57">
        <f>IF(AND(Table1[[#This Row],[Column1]]=3,Table1[[#This Row],[Column3]]=1),8,0)</f>
        <v>0</v>
      </c>
      <c r="AE5" s="57">
        <f>IF(AND(Table1[[#This Row],[Column1]]=3,Table1[[#This Row],[Column3]]=2),9,0)</f>
        <v>0</v>
      </c>
      <c r="AF5" s="57">
        <f>IF(AND(Table1[[#This Row],[Column1]]=3,Table1[[#This Row],[Column3]]=3),10,0)</f>
        <v>0</v>
      </c>
      <c r="AG5" s="57">
        <f>IF(AND(Table1[[#This Row],[Column1]]=4,Table1[[#This Row],[Column3]]=1),11,0)</f>
        <v>0</v>
      </c>
      <c r="AH5" s="57">
        <f>IF(AND(Table1[[#This Row],[Column1]]=4,Table1[[#This Row],[Column3]]=2),12,0)</f>
        <v>0</v>
      </c>
      <c r="AI5" s="57">
        <f>IF(AND(Table1[[#This Row],[Column1]]=4,Table1[[#This Row],[Column3]]=3),13,0)</f>
        <v>0</v>
      </c>
      <c r="AJ5" s="57">
        <f>IF(AND(Table1[[#This Row],[Column1]]=5,Table1[[#This Row],[Column3]]=1),14,0)</f>
        <v>0</v>
      </c>
      <c r="AK5" s="57">
        <f>IF(AND(Table1[[#This Row],[Column1]]=5,Table1[[#This Row],[Column3]]=2),15,0)</f>
        <v>0</v>
      </c>
      <c r="AL5" s="57">
        <f>IF(AND(Table1[[#This Row],[Column1]]=5,Table1[[#This Row],[Column3]]=3),16,0)</f>
        <v>0</v>
      </c>
      <c r="AM5" s="57">
        <f>IF(AND(Table1[[#This Row],[Column1]]=6,Table1[[#This Row],[Column3]]=1),17,0)</f>
        <v>0</v>
      </c>
      <c r="AN5" s="57">
        <f>IF(AND(Table1[[#This Row],[Column1]]=6,Table1[[#This Row],[Column3]]=2),18,0)</f>
        <v>0</v>
      </c>
      <c r="AO5" s="57">
        <f>IF(AND(Table1[[#This Row],[Column1]]=6,Table1[[#This Row],[Column3]]=3),19,0)</f>
        <v>0</v>
      </c>
      <c r="AP5" s="57">
        <f>IF(AND(Table1[[#This Row],[Column1]]=7,Table1[[#This Row],[Column3]]=1),20,0)</f>
        <v>0</v>
      </c>
      <c r="AQ5" s="57">
        <f>IF(AND(Table1[[#This Row],[Column1]]=7,Table1[[#This Row],[Column3]]=2),21,0)</f>
        <v>0</v>
      </c>
      <c r="AR5" s="57">
        <f>IF(AND(Table1[[#This Row],[Column1]]=7,Table1[[#This Row],[Column3]]=3),22,0)</f>
        <v>0</v>
      </c>
      <c r="AS5" s="57">
        <f>IF(AND(Table1[[#This Row],[Column1]]=8,Table1[[#This Row],[Column3]]=1),23,0)</f>
        <v>0</v>
      </c>
      <c r="AT5" s="57">
        <f>IF(AND(Table1[[#This Row],[Column1]]=8,Table1[[#This Row],[Column3]]=2),24,0)</f>
        <v>0</v>
      </c>
      <c r="AU5" s="57">
        <f>IF(AND(Table1[[#This Row],[Column1]]=8,Table1[[#This Row],[Column3]]=3),25,0)</f>
        <v>0</v>
      </c>
      <c r="AV5" s="57">
        <f>SUM(Table1[[#This Row],[Laden LNG]:[Idle HFO]])</f>
        <v>5</v>
      </c>
      <c r="AW5" s="57">
        <f>IF(AND(Table1[[#This Row],[Reliq]]=1,Table1[[#This Row],[Column3]]=1),26,0)</f>
        <v>26</v>
      </c>
      <c r="AX5" s="57">
        <f>IF(AND(Table1[[#This Row],[Reliq]]=1,Table1[[#This Row],[Column3]]=2),27,0)</f>
        <v>0</v>
      </c>
      <c r="AY5" s="57">
        <f>IF(AND(Table1[[#This Row],[Reliq]]=1,Table1[[#This Row],[Column3]]=3),28,0)</f>
        <v>0</v>
      </c>
      <c r="AZ5" s="57">
        <f>SUM(Table1[[#This Row],[Cooling LNG]:[Cooling HFO]])</f>
        <v>26</v>
      </c>
      <c r="BA5" s="57">
        <f t="shared" ref="BA5:BA24" si="6">IF(J5=$T$5,1,IF(J5=$T$6,2,3))</f>
        <v>2</v>
      </c>
    </row>
    <row r="6" spans="1:53" ht="20.100000000000001" customHeight="1" x14ac:dyDescent="0.2">
      <c r="A6" s="122">
        <v>2</v>
      </c>
      <c r="B6" s="103">
        <f>IF(D5="","",D5)</f>
        <v>45088.416666666664</v>
      </c>
      <c r="C6" s="104">
        <f>IF(E5="","",E5)</f>
        <v>-5</v>
      </c>
      <c r="D6" s="43">
        <v>45088.75</v>
      </c>
      <c r="E6" s="44">
        <v>-5</v>
      </c>
      <c r="F6" s="45">
        <v>0</v>
      </c>
      <c r="G6" s="45" t="s">
        <v>59</v>
      </c>
      <c r="H6" s="55" t="s">
        <v>6</v>
      </c>
      <c r="I6" s="55" t="s">
        <v>75</v>
      </c>
      <c r="J6" s="55" t="s">
        <v>76</v>
      </c>
      <c r="K6" s="80" t="s">
        <v>78</v>
      </c>
      <c r="L6" s="92">
        <f t="shared" si="0"/>
        <v>0.33333333333575865</v>
      </c>
      <c r="M6" s="93">
        <f t="shared" ref="M6:M24" si="7">L6*24</f>
        <v>8.0000000000582077</v>
      </c>
      <c r="N6" s="94">
        <f t="shared" si="1"/>
        <v>0</v>
      </c>
      <c r="O6" s="91"/>
      <c r="P6" s="57" t="s">
        <v>6</v>
      </c>
      <c r="Q6" s="57">
        <f t="shared" si="2"/>
        <v>2</v>
      </c>
      <c r="R6" s="1" t="s">
        <v>134</v>
      </c>
      <c r="S6" s="57">
        <f t="shared" si="3"/>
        <v>7</v>
      </c>
      <c r="T6" s="57" t="s">
        <v>76</v>
      </c>
      <c r="U6" s="57">
        <f t="shared" si="4"/>
        <v>1</v>
      </c>
      <c r="V6" s="57" t="s">
        <v>79</v>
      </c>
      <c r="W6" s="57">
        <f t="shared" si="5"/>
        <v>1</v>
      </c>
      <c r="X6" s="57">
        <f>IF(AND(Table1[[#This Row],[Column1]]=2,Table1[[#This Row],[Column3]]=1,Table1[[#This Row],[Column2]]=1),2,0)</f>
        <v>0</v>
      </c>
      <c r="Y6" s="57">
        <f>IF(AND(Table1[[#This Row],[Column1]]=2,Table1[[#This Row],[Column3]]=2,Table1[[#This Row],[Column2]]=1),3,0)</f>
        <v>0</v>
      </c>
      <c r="Z6" s="57">
        <f>IF(AND(Table1[[#This Row],[Column1]]=2,Table1[[#This Row],[Column3]]=3,Table1[[#This Row],[Column2]]=1),4,0)</f>
        <v>0</v>
      </c>
      <c r="AA6" s="57">
        <f>IF(AND(Table1[[#This Row],[Column1]]=2,Table1[[#This Row],[Column3]]=1,Table1[[#This Row],[Column2]]=2),5,0)</f>
        <v>0</v>
      </c>
      <c r="AB6" s="57">
        <f>IF(AND(Table1[[#This Row],[Column1]]=2,Table1[[#This Row],[Column3]]=2,Table1[[#This Row],[Column2]]=2),6,0)</f>
        <v>0</v>
      </c>
      <c r="AC6" s="57">
        <f>IF(AND(Table1[[#This Row],[Column1]]=2,Table1[[#This Row],[Column3]]=3,Table1[[#This Row],[Column2]]=2),7,0)</f>
        <v>0</v>
      </c>
      <c r="AD6" s="57">
        <f>IF(AND(Table1[[#This Row],[Column1]]=3,Table1[[#This Row],[Column3]]=1),8,0)</f>
        <v>0</v>
      </c>
      <c r="AE6" s="57">
        <f>IF(AND(Table1[[#This Row],[Column1]]=3,Table1[[#This Row],[Column3]]=2),9,0)</f>
        <v>0</v>
      </c>
      <c r="AF6" s="57">
        <f>IF(AND(Table1[[#This Row],[Column1]]=3,Table1[[#This Row],[Column3]]=3),10,0)</f>
        <v>0</v>
      </c>
      <c r="AG6" s="57">
        <f>IF(AND(Table1[[#This Row],[Column1]]=4,Table1[[#This Row],[Column3]]=1),11,0)</f>
        <v>0</v>
      </c>
      <c r="AH6" s="57">
        <f>IF(AND(Table1[[#This Row],[Column1]]=4,Table1[[#This Row],[Column3]]=2),12,0)</f>
        <v>0</v>
      </c>
      <c r="AI6" s="57">
        <f>IF(AND(Table1[[#This Row],[Column1]]=4,Table1[[#This Row],[Column3]]=3),13,0)</f>
        <v>0</v>
      </c>
      <c r="AJ6" s="57">
        <f>IF(AND(Table1[[#This Row],[Column1]]=5,Table1[[#This Row],[Column3]]=1),14,0)</f>
        <v>0</v>
      </c>
      <c r="AK6" s="57">
        <f>IF(AND(Table1[[#This Row],[Column1]]=5,Table1[[#This Row],[Column3]]=2),15,0)</f>
        <v>0</v>
      </c>
      <c r="AL6" s="57">
        <f>IF(AND(Table1[[#This Row],[Column1]]=5,Table1[[#This Row],[Column3]]=3),16,0)</f>
        <v>0</v>
      </c>
      <c r="AM6" s="57">
        <f>IF(AND(Table1[[#This Row],[Column1]]=6,Table1[[#This Row],[Column3]]=1),17,0)</f>
        <v>0</v>
      </c>
      <c r="AN6" s="57">
        <f>IF(AND(Table1[[#This Row],[Column1]]=6,Table1[[#This Row],[Column3]]=2),18,0)</f>
        <v>0</v>
      </c>
      <c r="AO6" s="57">
        <f>IF(AND(Table1[[#This Row],[Column1]]=6,Table1[[#This Row],[Column3]]=3),19,0)</f>
        <v>0</v>
      </c>
      <c r="AP6" s="57">
        <f>IF(AND(Table1[[#This Row],[Column1]]=7,Table1[[#This Row],[Column3]]=1),20,0)</f>
        <v>20</v>
      </c>
      <c r="AQ6" s="57">
        <f>IF(AND(Table1[[#This Row],[Column1]]=7,Table1[[#This Row],[Column3]]=2),21,0)</f>
        <v>0</v>
      </c>
      <c r="AR6" s="57">
        <f>IF(AND(Table1[[#This Row],[Column1]]=7,Table1[[#This Row],[Column3]]=3),22,0)</f>
        <v>0</v>
      </c>
      <c r="AS6" s="57">
        <f>IF(AND(Table1[[#This Row],[Column1]]=8,Table1[[#This Row],[Column3]]=1),23,0)</f>
        <v>0</v>
      </c>
      <c r="AT6" s="57">
        <f>IF(AND(Table1[[#This Row],[Column1]]=8,Table1[[#This Row],[Column3]]=2),24,0)</f>
        <v>0</v>
      </c>
      <c r="AU6" s="57">
        <f>IF(AND(Table1[[#This Row],[Column1]]=8,Table1[[#This Row],[Column3]]=3),25,0)</f>
        <v>0</v>
      </c>
      <c r="AV6" s="57">
        <f>SUM(Table1[[#This Row],[Laden LNG]:[Idle HFO]])</f>
        <v>20</v>
      </c>
      <c r="AW6" s="57">
        <f>IF(AND(Table1[[#This Row],[Reliq]]=1,Table1[[#This Row],[Column3]]=1),26,0)</f>
        <v>26</v>
      </c>
      <c r="AX6" s="57">
        <f>IF(AND(Table1[[#This Row],[Reliq]]=1,Table1[[#This Row],[Column3]]=2),27,0)</f>
        <v>0</v>
      </c>
      <c r="AY6" s="57">
        <f>IF(AND(Table1[[#This Row],[Reliq]]=1,Table1[[#This Row],[Column3]]=3),28,0)</f>
        <v>0</v>
      </c>
      <c r="AZ6" s="57">
        <f>SUM(Table1[[#This Row],[Cooling LNG]:[Cooling HFO]])</f>
        <v>26</v>
      </c>
      <c r="BA6" s="57">
        <f t="shared" si="6"/>
        <v>2</v>
      </c>
    </row>
    <row r="7" spans="1:53" ht="20.100000000000001" customHeight="1" x14ac:dyDescent="0.2">
      <c r="A7" s="122">
        <v>3</v>
      </c>
      <c r="B7" s="103">
        <f t="shared" ref="B7:B24" si="8">IF(D6="","",D6)</f>
        <v>45088.75</v>
      </c>
      <c r="C7" s="104">
        <f t="shared" ref="C7:C24" si="9">IF(E6="","",E6)</f>
        <v>-5</v>
      </c>
      <c r="D7" s="43">
        <v>45089.583333333336</v>
      </c>
      <c r="E7" s="44">
        <v>-5</v>
      </c>
      <c r="F7" s="45">
        <v>245</v>
      </c>
      <c r="G7" s="45" t="s">
        <v>134</v>
      </c>
      <c r="H7" s="45" t="s">
        <v>6</v>
      </c>
      <c r="I7" s="45" t="s">
        <v>75</v>
      </c>
      <c r="J7" s="45" t="s">
        <v>76</v>
      </c>
      <c r="K7" s="81" t="s">
        <v>78</v>
      </c>
      <c r="L7" s="95">
        <f t="shared" si="0"/>
        <v>0.83333333333575865</v>
      </c>
      <c r="M7" s="96">
        <f t="shared" si="7"/>
        <v>20.000000000058208</v>
      </c>
      <c r="N7" s="94">
        <f t="shared" si="1"/>
        <v>12.249999999964349</v>
      </c>
      <c r="O7" s="91"/>
      <c r="P7" s="57"/>
      <c r="Q7" s="57">
        <f t="shared" si="2"/>
        <v>2</v>
      </c>
      <c r="R7" s="1" t="s">
        <v>56</v>
      </c>
      <c r="S7" s="57">
        <f t="shared" si="3"/>
        <v>2</v>
      </c>
      <c r="T7" s="57"/>
      <c r="U7" s="57">
        <f t="shared" si="4"/>
        <v>1</v>
      </c>
      <c r="V7" s="57" t="s">
        <v>80</v>
      </c>
      <c r="W7" s="57">
        <f t="shared" si="5"/>
        <v>1</v>
      </c>
      <c r="X7" s="57">
        <f>IF(AND(Table1[[#This Row],[Column1]]=2,Table1[[#This Row],[Column3]]=1,Table1[[#This Row],[Column2]]=1),2,0)</f>
        <v>0</v>
      </c>
      <c r="Y7" s="57">
        <f>IF(AND(Table1[[#This Row],[Column1]]=2,Table1[[#This Row],[Column3]]=2,Table1[[#This Row],[Column2]]=1),3,0)</f>
        <v>0</v>
      </c>
      <c r="Z7" s="57">
        <f>IF(AND(Table1[[#This Row],[Column1]]=2,Table1[[#This Row],[Column3]]=3,Table1[[#This Row],[Column2]]=1),4,0)</f>
        <v>0</v>
      </c>
      <c r="AA7" s="57">
        <f>IF(AND(Table1[[#This Row],[Column1]]=2,Table1[[#This Row],[Column3]]=1,Table1[[#This Row],[Column2]]=2),5,0)</f>
        <v>5</v>
      </c>
      <c r="AB7" s="57">
        <f>IF(AND(Table1[[#This Row],[Column1]]=2,Table1[[#This Row],[Column3]]=2,Table1[[#This Row],[Column2]]=2),6,0)</f>
        <v>0</v>
      </c>
      <c r="AC7" s="57">
        <f>IF(AND(Table1[[#This Row],[Column1]]=2,Table1[[#This Row],[Column3]]=3,Table1[[#This Row],[Column2]]=2),7,0)</f>
        <v>0</v>
      </c>
      <c r="AD7" s="57">
        <f>IF(AND(Table1[[#This Row],[Column1]]=3,Table1[[#This Row],[Column3]]=1),8,0)</f>
        <v>0</v>
      </c>
      <c r="AE7" s="57">
        <f>IF(AND(Table1[[#This Row],[Column1]]=3,Table1[[#This Row],[Column3]]=2),9,0)</f>
        <v>0</v>
      </c>
      <c r="AF7" s="57">
        <f>IF(AND(Table1[[#This Row],[Column1]]=3,Table1[[#This Row],[Column3]]=3),10,0)</f>
        <v>0</v>
      </c>
      <c r="AG7" s="57">
        <f>IF(AND(Table1[[#This Row],[Column1]]=4,Table1[[#This Row],[Column3]]=1),11,0)</f>
        <v>0</v>
      </c>
      <c r="AH7" s="57">
        <f>IF(AND(Table1[[#This Row],[Column1]]=4,Table1[[#This Row],[Column3]]=2),12,0)</f>
        <v>0</v>
      </c>
      <c r="AI7" s="57">
        <f>IF(AND(Table1[[#This Row],[Column1]]=4,Table1[[#This Row],[Column3]]=3),13,0)</f>
        <v>0</v>
      </c>
      <c r="AJ7" s="57">
        <f>IF(AND(Table1[[#This Row],[Column1]]=5,Table1[[#This Row],[Column3]]=1),14,0)</f>
        <v>0</v>
      </c>
      <c r="AK7" s="57">
        <f>IF(AND(Table1[[#This Row],[Column1]]=5,Table1[[#This Row],[Column3]]=2),15,0)</f>
        <v>0</v>
      </c>
      <c r="AL7" s="57">
        <f>IF(AND(Table1[[#This Row],[Column1]]=5,Table1[[#This Row],[Column3]]=3),16,0)</f>
        <v>0</v>
      </c>
      <c r="AM7" s="57">
        <f>IF(AND(Table1[[#This Row],[Column1]]=6,Table1[[#This Row],[Column3]]=1),17,0)</f>
        <v>0</v>
      </c>
      <c r="AN7" s="57">
        <f>IF(AND(Table1[[#This Row],[Column1]]=6,Table1[[#This Row],[Column3]]=2),18,0)</f>
        <v>0</v>
      </c>
      <c r="AO7" s="57">
        <f>IF(AND(Table1[[#This Row],[Column1]]=6,Table1[[#This Row],[Column3]]=3),19,0)</f>
        <v>0</v>
      </c>
      <c r="AP7" s="57">
        <f>IF(AND(Table1[[#This Row],[Column1]]=7,Table1[[#This Row],[Column3]]=1),20,0)</f>
        <v>0</v>
      </c>
      <c r="AQ7" s="57">
        <f>IF(AND(Table1[[#This Row],[Column1]]=7,Table1[[#This Row],[Column3]]=2),21,0)</f>
        <v>0</v>
      </c>
      <c r="AR7" s="57">
        <f>IF(AND(Table1[[#This Row],[Column1]]=7,Table1[[#This Row],[Column3]]=3),22,0)</f>
        <v>0</v>
      </c>
      <c r="AS7" s="57">
        <f>IF(AND(Table1[[#This Row],[Column1]]=8,Table1[[#This Row],[Column3]]=1),23,0)</f>
        <v>0</v>
      </c>
      <c r="AT7" s="57">
        <f>IF(AND(Table1[[#This Row],[Column1]]=8,Table1[[#This Row],[Column3]]=2),24,0)</f>
        <v>0</v>
      </c>
      <c r="AU7" s="57">
        <f>IF(AND(Table1[[#This Row],[Column1]]=8,Table1[[#This Row],[Column3]]=3),25,0)</f>
        <v>0</v>
      </c>
      <c r="AV7" s="57">
        <f>SUM(Table1[[#This Row],[Laden LNG]:[Idle HFO]])</f>
        <v>5</v>
      </c>
      <c r="AW7" s="57">
        <f>IF(AND(Table1[[#This Row],[Reliq]]=1,Table1[[#This Row],[Column3]]=1),26,0)</f>
        <v>26</v>
      </c>
      <c r="AX7" s="57">
        <f>IF(AND(Table1[[#This Row],[Reliq]]=1,Table1[[#This Row],[Column3]]=2),27,0)</f>
        <v>0</v>
      </c>
      <c r="AY7" s="57">
        <f>IF(AND(Table1[[#This Row],[Reliq]]=1,Table1[[#This Row],[Column3]]=3),28,0)</f>
        <v>0</v>
      </c>
      <c r="AZ7" s="57">
        <f>SUM(Table1[[#This Row],[Cooling LNG]:[Cooling HFO]])</f>
        <v>26</v>
      </c>
      <c r="BA7" s="57">
        <f t="shared" si="6"/>
        <v>2</v>
      </c>
    </row>
    <row r="8" spans="1:53" ht="20.100000000000001" customHeight="1" x14ac:dyDescent="0.2">
      <c r="A8" s="122">
        <v>4</v>
      </c>
      <c r="B8" s="103">
        <f t="shared" si="8"/>
        <v>45089.583333333336</v>
      </c>
      <c r="C8" s="104">
        <f t="shared" si="9"/>
        <v>-5</v>
      </c>
      <c r="D8" s="43">
        <v>45093.25</v>
      </c>
      <c r="E8" s="44">
        <v>-5</v>
      </c>
      <c r="F8" s="45">
        <v>0</v>
      </c>
      <c r="G8" s="45" t="s">
        <v>59</v>
      </c>
      <c r="H8" s="45" t="s">
        <v>6</v>
      </c>
      <c r="I8" s="45" t="s">
        <v>75</v>
      </c>
      <c r="J8" s="45" t="s">
        <v>76</v>
      </c>
      <c r="K8" s="81" t="s">
        <v>78</v>
      </c>
      <c r="L8" s="95">
        <f t="shared" si="0"/>
        <v>3.6666666666642413</v>
      </c>
      <c r="M8" s="96">
        <f t="shared" si="7"/>
        <v>87.999999999941792</v>
      </c>
      <c r="N8" s="94">
        <f t="shared" si="1"/>
        <v>0</v>
      </c>
      <c r="O8" s="91"/>
      <c r="P8" s="57"/>
      <c r="Q8" s="57">
        <f t="shared" si="2"/>
        <v>2</v>
      </c>
      <c r="R8" s="1" t="s">
        <v>57</v>
      </c>
      <c r="S8" s="57">
        <f t="shared" si="3"/>
        <v>7</v>
      </c>
      <c r="T8" s="57"/>
      <c r="U8" s="57">
        <f t="shared" si="4"/>
        <v>1</v>
      </c>
      <c r="V8" s="57"/>
      <c r="W8" s="57">
        <f t="shared" si="5"/>
        <v>1</v>
      </c>
      <c r="X8" s="57">
        <f>IF(AND(Table1[[#This Row],[Column1]]=2,Table1[[#This Row],[Column3]]=1,Table1[[#This Row],[Column2]]=1),2,0)</f>
        <v>0</v>
      </c>
      <c r="Y8" s="57">
        <f>IF(AND(Table1[[#This Row],[Column1]]=2,Table1[[#This Row],[Column3]]=2,Table1[[#This Row],[Column2]]=1),3,0)</f>
        <v>0</v>
      </c>
      <c r="Z8" s="57">
        <f>IF(AND(Table1[[#This Row],[Column1]]=2,Table1[[#This Row],[Column3]]=3,Table1[[#This Row],[Column2]]=1),4,0)</f>
        <v>0</v>
      </c>
      <c r="AA8" s="57">
        <f>IF(AND(Table1[[#This Row],[Column1]]=2,Table1[[#This Row],[Column3]]=1,Table1[[#This Row],[Column2]]=2),5,0)</f>
        <v>0</v>
      </c>
      <c r="AB8" s="57">
        <f>IF(AND(Table1[[#This Row],[Column1]]=2,Table1[[#This Row],[Column3]]=2,Table1[[#This Row],[Column2]]=2),6,0)</f>
        <v>0</v>
      </c>
      <c r="AC8" s="57">
        <f>IF(AND(Table1[[#This Row],[Column1]]=2,Table1[[#This Row],[Column3]]=3,Table1[[#This Row],[Column2]]=2),7,0)</f>
        <v>0</v>
      </c>
      <c r="AD8" s="57">
        <f>IF(AND(Table1[[#This Row],[Column1]]=3,Table1[[#This Row],[Column3]]=1),8,0)</f>
        <v>0</v>
      </c>
      <c r="AE8" s="57">
        <f>IF(AND(Table1[[#This Row],[Column1]]=3,Table1[[#This Row],[Column3]]=2),9,0)</f>
        <v>0</v>
      </c>
      <c r="AF8" s="57">
        <f>IF(AND(Table1[[#This Row],[Column1]]=3,Table1[[#This Row],[Column3]]=3),10,0)</f>
        <v>0</v>
      </c>
      <c r="AG8" s="57">
        <f>IF(AND(Table1[[#This Row],[Column1]]=4,Table1[[#This Row],[Column3]]=1),11,0)</f>
        <v>0</v>
      </c>
      <c r="AH8" s="57">
        <f>IF(AND(Table1[[#This Row],[Column1]]=4,Table1[[#This Row],[Column3]]=2),12,0)</f>
        <v>0</v>
      </c>
      <c r="AI8" s="57">
        <f>IF(AND(Table1[[#This Row],[Column1]]=4,Table1[[#This Row],[Column3]]=3),13,0)</f>
        <v>0</v>
      </c>
      <c r="AJ8" s="57">
        <f>IF(AND(Table1[[#This Row],[Column1]]=5,Table1[[#This Row],[Column3]]=1),14,0)</f>
        <v>0</v>
      </c>
      <c r="AK8" s="57">
        <f>IF(AND(Table1[[#This Row],[Column1]]=5,Table1[[#This Row],[Column3]]=2),15,0)</f>
        <v>0</v>
      </c>
      <c r="AL8" s="57">
        <f>IF(AND(Table1[[#This Row],[Column1]]=5,Table1[[#This Row],[Column3]]=3),16,0)</f>
        <v>0</v>
      </c>
      <c r="AM8" s="57">
        <f>IF(AND(Table1[[#This Row],[Column1]]=6,Table1[[#This Row],[Column3]]=1),17,0)</f>
        <v>0</v>
      </c>
      <c r="AN8" s="57">
        <f>IF(AND(Table1[[#This Row],[Column1]]=6,Table1[[#This Row],[Column3]]=2),18,0)</f>
        <v>0</v>
      </c>
      <c r="AO8" s="57">
        <f>IF(AND(Table1[[#This Row],[Column1]]=6,Table1[[#This Row],[Column3]]=3),19,0)</f>
        <v>0</v>
      </c>
      <c r="AP8" s="57">
        <f>IF(AND(Table1[[#This Row],[Column1]]=7,Table1[[#This Row],[Column3]]=1),20,0)</f>
        <v>20</v>
      </c>
      <c r="AQ8" s="57">
        <f>IF(AND(Table1[[#This Row],[Column1]]=7,Table1[[#This Row],[Column3]]=2),21,0)</f>
        <v>0</v>
      </c>
      <c r="AR8" s="57">
        <f>IF(AND(Table1[[#This Row],[Column1]]=7,Table1[[#This Row],[Column3]]=3),22,0)</f>
        <v>0</v>
      </c>
      <c r="AS8" s="57">
        <f>IF(AND(Table1[[#This Row],[Column1]]=8,Table1[[#This Row],[Column3]]=1),23,0)</f>
        <v>0</v>
      </c>
      <c r="AT8" s="57">
        <f>IF(AND(Table1[[#This Row],[Column1]]=8,Table1[[#This Row],[Column3]]=2),24,0)</f>
        <v>0</v>
      </c>
      <c r="AU8" s="57">
        <f>IF(AND(Table1[[#This Row],[Column1]]=8,Table1[[#This Row],[Column3]]=3),25,0)</f>
        <v>0</v>
      </c>
      <c r="AV8" s="57">
        <f>SUM(Table1[[#This Row],[Laden LNG]:[Idle HFO]])</f>
        <v>20</v>
      </c>
      <c r="AW8" s="57">
        <f>IF(AND(Table1[[#This Row],[Reliq]]=1,Table1[[#This Row],[Column3]]=1),26,0)</f>
        <v>26</v>
      </c>
      <c r="AX8" s="57">
        <f>IF(AND(Table1[[#This Row],[Reliq]]=1,Table1[[#This Row],[Column3]]=2),27,0)</f>
        <v>0</v>
      </c>
      <c r="AY8" s="57">
        <f>IF(AND(Table1[[#This Row],[Reliq]]=1,Table1[[#This Row],[Column3]]=3),28,0)</f>
        <v>0</v>
      </c>
      <c r="AZ8" s="57">
        <f>SUM(Table1[[#This Row],[Cooling LNG]:[Cooling HFO]])</f>
        <v>26</v>
      </c>
      <c r="BA8" s="57">
        <f t="shared" si="6"/>
        <v>2</v>
      </c>
    </row>
    <row r="9" spans="1:53" ht="20.100000000000001" customHeight="1" x14ac:dyDescent="0.2">
      <c r="A9" s="122">
        <v>5</v>
      </c>
      <c r="B9" s="103">
        <f t="shared" si="8"/>
        <v>45093.25</v>
      </c>
      <c r="C9" s="104">
        <f t="shared" si="9"/>
        <v>-5</v>
      </c>
      <c r="D9" s="43">
        <v>45093.416666666664</v>
      </c>
      <c r="E9" s="44">
        <v>-5</v>
      </c>
      <c r="F9" s="45">
        <v>40</v>
      </c>
      <c r="G9" s="45" t="s">
        <v>144</v>
      </c>
      <c r="H9" s="45" t="s">
        <v>6</v>
      </c>
      <c r="I9" s="45" t="s">
        <v>75</v>
      </c>
      <c r="J9" s="45" t="s">
        <v>75</v>
      </c>
      <c r="K9" s="81" t="s">
        <v>78</v>
      </c>
      <c r="L9" s="95">
        <f t="shared" si="0"/>
        <v>0.16666666666424135</v>
      </c>
      <c r="M9" s="96">
        <f t="shared" si="7"/>
        <v>3.9999999999417923</v>
      </c>
      <c r="N9" s="94">
        <f t="shared" si="1"/>
        <v>10.000000000145519</v>
      </c>
      <c r="O9" s="91"/>
      <c r="P9" s="57"/>
      <c r="Q9" s="57">
        <f t="shared" si="2"/>
        <v>2</v>
      </c>
      <c r="R9" s="1" t="s">
        <v>144</v>
      </c>
      <c r="S9" s="57">
        <f t="shared" si="3"/>
        <v>5</v>
      </c>
      <c r="T9" s="57"/>
      <c r="U9" s="57">
        <f t="shared" si="4"/>
        <v>1</v>
      </c>
      <c r="V9" s="57"/>
      <c r="W9" s="57">
        <f t="shared" si="5"/>
        <v>1</v>
      </c>
      <c r="X9" s="57">
        <f>IF(AND(Table1[[#This Row],[Column1]]=2,Table1[[#This Row],[Column3]]=1,Table1[[#This Row],[Column2]]=1),2,0)</f>
        <v>0</v>
      </c>
      <c r="Y9" s="57">
        <f>IF(AND(Table1[[#This Row],[Column1]]=2,Table1[[#This Row],[Column3]]=2,Table1[[#This Row],[Column2]]=1),3,0)</f>
        <v>0</v>
      </c>
      <c r="Z9" s="57">
        <f>IF(AND(Table1[[#This Row],[Column1]]=2,Table1[[#This Row],[Column3]]=3,Table1[[#This Row],[Column2]]=1),4,0)</f>
        <v>0</v>
      </c>
      <c r="AA9" s="57">
        <f>IF(AND(Table1[[#This Row],[Column1]]=2,Table1[[#This Row],[Column3]]=1,Table1[[#This Row],[Column2]]=2),5,0)</f>
        <v>0</v>
      </c>
      <c r="AB9" s="57">
        <f>IF(AND(Table1[[#This Row],[Column1]]=2,Table1[[#This Row],[Column3]]=2,Table1[[#This Row],[Column2]]=2),6,0)</f>
        <v>0</v>
      </c>
      <c r="AC9" s="57">
        <f>IF(AND(Table1[[#This Row],[Column1]]=2,Table1[[#This Row],[Column3]]=3,Table1[[#This Row],[Column2]]=2),7,0)</f>
        <v>0</v>
      </c>
      <c r="AD9" s="57">
        <f>IF(AND(Table1[[#This Row],[Column1]]=3,Table1[[#This Row],[Column3]]=1),8,0)</f>
        <v>0</v>
      </c>
      <c r="AE9" s="57">
        <f>IF(AND(Table1[[#This Row],[Column1]]=3,Table1[[#This Row],[Column3]]=2),9,0)</f>
        <v>0</v>
      </c>
      <c r="AF9" s="57">
        <f>IF(AND(Table1[[#This Row],[Column1]]=3,Table1[[#This Row],[Column3]]=3),10,0)</f>
        <v>0</v>
      </c>
      <c r="AG9" s="57">
        <f>IF(AND(Table1[[#This Row],[Column1]]=4,Table1[[#This Row],[Column3]]=1),11,0)</f>
        <v>0</v>
      </c>
      <c r="AH9" s="57">
        <f>IF(AND(Table1[[#This Row],[Column1]]=4,Table1[[#This Row],[Column3]]=2),12,0)</f>
        <v>0</v>
      </c>
      <c r="AI9" s="57">
        <f>IF(AND(Table1[[#This Row],[Column1]]=4,Table1[[#This Row],[Column3]]=3),13,0)</f>
        <v>0</v>
      </c>
      <c r="AJ9" s="57">
        <f>IF(AND(Table1[[#This Row],[Column1]]=5,Table1[[#This Row],[Column3]]=1),14,0)</f>
        <v>14</v>
      </c>
      <c r="AK9" s="57">
        <f>IF(AND(Table1[[#This Row],[Column1]]=5,Table1[[#This Row],[Column3]]=2),15,0)</f>
        <v>0</v>
      </c>
      <c r="AL9" s="57">
        <f>IF(AND(Table1[[#This Row],[Column1]]=5,Table1[[#This Row],[Column3]]=3),16,0)</f>
        <v>0</v>
      </c>
      <c r="AM9" s="57">
        <f>IF(AND(Table1[[#This Row],[Column1]]=6,Table1[[#This Row],[Column3]]=1),17,0)</f>
        <v>0</v>
      </c>
      <c r="AN9" s="57">
        <f>IF(AND(Table1[[#This Row],[Column1]]=6,Table1[[#This Row],[Column3]]=2),18,0)</f>
        <v>0</v>
      </c>
      <c r="AO9" s="57">
        <f>IF(AND(Table1[[#This Row],[Column1]]=6,Table1[[#This Row],[Column3]]=3),19,0)</f>
        <v>0</v>
      </c>
      <c r="AP9" s="57">
        <f>IF(AND(Table1[[#This Row],[Column1]]=7,Table1[[#This Row],[Column3]]=1),20,0)</f>
        <v>0</v>
      </c>
      <c r="AQ9" s="57">
        <f>IF(AND(Table1[[#This Row],[Column1]]=7,Table1[[#This Row],[Column3]]=2),21,0)</f>
        <v>0</v>
      </c>
      <c r="AR9" s="57">
        <f>IF(AND(Table1[[#This Row],[Column1]]=7,Table1[[#This Row],[Column3]]=3),22,0)</f>
        <v>0</v>
      </c>
      <c r="AS9" s="57">
        <f>IF(AND(Table1[[#This Row],[Column1]]=8,Table1[[#This Row],[Column3]]=1),23,0)</f>
        <v>0</v>
      </c>
      <c r="AT9" s="57">
        <f>IF(AND(Table1[[#This Row],[Column1]]=8,Table1[[#This Row],[Column3]]=2),24,0)</f>
        <v>0</v>
      </c>
      <c r="AU9" s="57">
        <f>IF(AND(Table1[[#This Row],[Column1]]=8,Table1[[#This Row],[Column3]]=3),25,0)</f>
        <v>0</v>
      </c>
      <c r="AV9" s="57">
        <f>SUM(Table1[[#This Row],[Laden LNG]:[Idle HFO]])</f>
        <v>14</v>
      </c>
      <c r="AW9" s="57">
        <f>IF(AND(Table1[[#This Row],[Reliq]]=1,Table1[[#This Row],[Column3]]=1),26,0)</f>
        <v>26</v>
      </c>
      <c r="AX9" s="57">
        <f>IF(AND(Table1[[#This Row],[Reliq]]=1,Table1[[#This Row],[Column3]]=2),27,0)</f>
        <v>0</v>
      </c>
      <c r="AY9" s="57">
        <f>IF(AND(Table1[[#This Row],[Reliq]]=1,Table1[[#This Row],[Column3]]=3),28,0)</f>
        <v>0</v>
      </c>
      <c r="AZ9" s="57">
        <f>SUM(Table1[[#This Row],[Cooling LNG]:[Cooling HFO]])</f>
        <v>26</v>
      </c>
      <c r="BA9" s="57">
        <f t="shared" si="6"/>
        <v>1</v>
      </c>
    </row>
    <row r="10" spans="1:53" ht="20.100000000000001" customHeight="1" x14ac:dyDescent="0.2">
      <c r="A10" s="122">
        <v>6</v>
      </c>
      <c r="B10" s="103">
        <f t="shared" si="8"/>
        <v>45093.416666666664</v>
      </c>
      <c r="C10" s="104">
        <f t="shared" si="9"/>
        <v>-5</v>
      </c>
      <c r="D10" s="43"/>
      <c r="E10" s="44"/>
      <c r="F10" s="45"/>
      <c r="G10" s="45"/>
      <c r="H10" s="45"/>
      <c r="I10" s="45"/>
      <c r="J10" s="45"/>
      <c r="K10" s="81"/>
      <c r="L10" s="95">
        <f t="shared" si="0"/>
        <v>0</v>
      </c>
      <c r="M10" s="96">
        <f t="shared" si="7"/>
        <v>0</v>
      </c>
      <c r="N10" s="94">
        <f t="shared" si="1"/>
        <v>0</v>
      </c>
      <c r="O10" s="91"/>
      <c r="P10" s="57"/>
      <c r="Q10" s="57">
        <f t="shared" si="2"/>
        <v>3</v>
      </c>
      <c r="R10" s="1" t="s">
        <v>55</v>
      </c>
      <c r="S10" s="57">
        <f t="shared" si="3"/>
        <v>1</v>
      </c>
      <c r="T10" s="57"/>
      <c r="U10" s="57">
        <f t="shared" si="4"/>
        <v>3</v>
      </c>
      <c r="V10" s="57"/>
      <c r="W10" s="57">
        <f t="shared" si="5"/>
        <v>4</v>
      </c>
      <c r="X10" s="57">
        <f>IF(AND(Table1[[#This Row],[Column1]]=2,Table1[[#This Row],[Column3]]=1,Table1[[#This Row],[Column2]]=1),2,0)</f>
        <v>0</v>
      </c>
      <c r="Y10" s="57">
        <f>IF(AND(Table1[[#This Row],[Column1]]=2,Table1[[#This Row],[Column3]]=2,Table1[[#This Row],[Column2]]=1),3,0)</f>
        <v>0</v>
      </c>
      <c r="Z10" s="57">
        <f>IF(AND(Table1[[#This Row],[Column1]]=2,Table1[[#This Row],[Column3]]=3,Table1[[#This Row],[Column2]]=1),4,0)</f>
        <v>0</v>
      </c>
      <c r="AA10" s="57">
        <f>IF(AND(Table1[[#This Row],[Column1]]=2,Table1[[#This Row],[Column3]]=1,Table1[[#This Row],[Column2]]=2),5,0)</f>
        <v>0</v>
      </c>
      <c r="AB10" s="57">
        <f>IF(AND(Table1[[#This Row],[Column1]]=2,Table1[[#This Row],[Column3]]=2,Table1[[#This Row],[Column2]]=2),6,0)</f>
        <v>0</v>
      </c>
      <c r="AC10" s="57">
        <f>IF(AND(Table1[[#This Row],[Column1]]=2,Table1[[#This Row],[Column3]]=3,Table1[[#This Row],[Column2]]=2),7,0)</f>
        <v>0</v>
      </c>
      <c r="AD10" s="57">
        <f>IF(AND(Table1[[#This Row],[Column1]]=3,Table1[[#This Row],[Column3]]=1),8,0)</f>
        <v>0</v>
      </c>
      <c r="AE10" s="57">
        <f>IF(AND(Table1[[#This Row],[Column1]]=3,Table1[[#This Row],[Column3]]=2),9,0)</f>
        <v>0</v>
      </c>
      <c r="AF10" s="57">
        <f>IF(AND(Table1[[#This Row],[Column1]]=3,Table1[[#This Row],[Column3]]=3),10,0)</f>
        <v>0</v>
      </c>
      <c r="AG10" s="57">
        <f>IF(AND(Table1[[#This Row],[Column1]]=4,Table1[[#This Row],[Column3]]=1),11,0)</f>
        <v>0</v>
      </c>
      <c r="AH10" s="57">
        <f>IF(AND(Table1[[#This Row],[Column1]]=4,Table1[[#This Row],[Column3]]=2),12,0)</f>
        <v>0</v>
      </c>
      <c r="AI10" s="57">
        <f>IF(AND(Table1[[#This Row],[Column1]]=4,Table1[[#This Row],[Column3]]=3),13,0)</f>
        <v>0</v>
      </c>
      <c r="AJ10" s="57">
        <f>IF(AND(Table1[[#This Row],[Column1]]=5,Table1[[#This Row],[Column3]]=1),14,0)</f>
        <v>0</v>
      </c>
      <c r="AK10" s="57">
        <f>IF(AND(Table1[[#This Row],[Column1]]=5,Table1[[#This Row],[Column3]]=2),15,0)</f>
        <v>0</v>
      </c>
      <c r="AL10" s="57">
        <f>IF(AND(Table1[[#This Row],[Column1]]=5,Table1[[#This Row],[Column3]]=3),16,0)</f>
        <v>0</v>
      </c>
      <c r="AM10" s="57">
        <f>IF(AND(Table1[[#This Row],[Column1]]=6,Table1[[#This Row],[Column3]]=1),17,0)</f>
        <v>0</v>
      </c>
      <c r="AN10" s="57">
        <f>IF(AND(Table1[[#This Row],[Column1]]=6,Table1[[#This Row],[Column3]]=2),18,0)</f>
        <v>0</v>
      </c>
      <c r="AO10" s="57">
        <f>IF(AND(Table1[[#This Row],[Column1]]=6,Table1[[#This Row],[Column3]]=3),19,0)</f>
        <v>0</v>
      </c>
      <c r="AP10" s="57">
        <f>IF(AND(Table1[[#This Row],[Column1]]=7,Table1[[#This Row],[Column3]]=1),20,0)</f>
        <v>0</v>
      </c>
      <c r="AQ10" s="57">
        <f>IF(AND(Table1[[#This Row],[Column1]]=7,Table1[[#This Row],[Column3]]=2),21,0)</f>
        <v>0</v>
      </c>
      <c r="AR10" s="57">
        <f>IF(AND(Table1[[#This Row],[Column1]]=7,Table1[[#This Row],[Column3]]=3),22,0)</f>
        <v>0</v>
      </c>
      <c r="AS10" s="57">
        <f>IF(AND(Table1[[#This Row],[Column1]]=8,Table1[[#This Row],[Column3]]=1),23,0)</f>
        <v>0</v>
      </c>
      <c r="AT10" s="57">
        <f>IF(AND(Table1[[#This Row],[Column1]]=8,Table1[[#This Row],[Column3]]=2),24,0)</f>
        <v>0</v>
      </c>
      <c r="AU10" s="57">
        <f>IF(AND(Table1[[#This Row],[Column1]]=8,Table1[[#This Row],[Column3]]=3),25,0)</f>
        <v>0</v>
      </c>
      <c r="AV10" s="57">
        <f>SUM(Table1[[#This Row],[Laden LNG]:[Idle HFO]])</f>
        <v>0</v>
      </c>
      <c r="AW10" s="57">
        <f>IF(AND(Table1[[#This Row],[Reliq]]=1,Table1[[#This Row],[Column3]]=1),26,0)</f>
        <v>0</v>
      </c>
      <c r="AX10" s="57">
        <f>IF(AND(Table1[[#This Row],[Reliq]]=1,Table1[[#This Row],[Column3]]=2),27,0)</f>
        <v>0</v>
      </c>
      <c r="AY10" s="57">
        <f>IF(AND(Table1[[#This Row],[Reliq]]=1,Table1[[#This Row],[Column3]]=3),28,0)</f>
        <v>0</v>
      </c>
      <c r="AZ10" s="57">
        <f>SUM(Table1[[#This Row],[Cooling LNG]:[Cooling HFO]])</f>
        <v>0</v>
      </c>
      <c r="BA10" s="57">
        <f t="shared" si="6"/>
        <v>3</v>
      </c>
    </row>
    <row r="11" spans="1:53" ht="20.100000000000001" customHeight="1" x14ac:dyDescent="0.2">
      <c r="A11" s="122">
        <v>7</v>
      </c>
      <c r="B11" s="103" t="str">
        <f t="shared" si="8"/>
        <v/>
      </c>
      <c r="C11" s="104" t="str">
        <f t="shared" si="9"/>
        <v/>
      </c>
      <c r="D11" s="43"/>
      <c r="E11" s="44"/>
      <c r="F11" s="45"/>
      <c r="G11" s="45"/>
      <c r="H11" s="45"/>
      <c r="I11" s="45"/>
      <c r="J11" s="45"/>
      <c r="K11" s="81"/>
      <c r="L11" s="95">
        <f t="shared" si="0"/>
        <v>0</v>
      </c>
      <c r="M11" s="96">
        <f t="shared" si="7"/>
        <v>0</v>
      </c>
      <c r="N11" s="94">
        <f t="shared" si="1"/>
        <v>0</v>
      </c>
      <c r="O11" s="91"/>
      <c r="P11" s="57"/>
      <c r="Q11" s="57">
        <f t="shared" si="2"/>
        <v>3</v>
      </c>
      <c r="R11" s="1" t="s">
        <v>59</v>
      </c>
      <c r="S11" s="57">
        <f t="shared" si="3"/>
        <v>1</v>
      </c>
      <c r="T11" s="57"/>
      <c r="U11" s="57">
        <f t="shared" si="4"/>
        <v>3</v>
      </c>
      <c r="V11" s="57"/>
      <c r="W11" s="57">
        <f t="shared" si="5"/>
        <v>4</v>
      </c>
      <c r="X11" s="57">
        <f>IF(AND(Table1[[#This Row],[Column1]]=2,Table1[[#This Row],[Column3]]=1,Table1[[#This Row],[Column2]]=1),2,0)</f>
        <v>0</v>
      </c>
      <c r="Y11" s="57">
        <f>IF(AND(Table1[[#This Row],[Column1]]=2,Table1[[#This Row],[Column3]]=2,Table1[[#This Row],[Column2]]=1),3,0)</f>
        <v>0</v>
      </c>
      <c r="Z11" s="57">
        <f>IF(AND(Table1[[#This Row],[Column1]]=2,Table1[[#This Row],[Column3]]=3,Table1[[#This Row],[Column2]]=1),4,0)</f>
        <v>0</v>
      </c>
      <c r="AA11" s="57">
        <f>IF(AND(Table1[[#This Row],[Column1]]=2,Table1[[#This Row],[Column3]]=1,Table1[[#This Row],[Column2]]=2),5,0)</f>
        <v>0</v>
      </c>
      <c r="AB11" s="57">
        <f>IF(AND(Table1[[#This Row],[Column1]]=2,Table1[[#This Row],[Column3]]=2,Table1[[#This Row],[Column2]]=2),6,0)</f>
        <v>0</v>
      </c>
      <c r="AC11" s="57">
        <f>IF(AND(Table1[[#This Row],[Column1]]=2,Table1[[#This Row],[Column3]]=3,Table1[[#This Row],[Column2]]=2),7,0)</f>
        <v>0</v>
      </c>
      <c r="AD11" s="57">
        <f>IF(AND(Table1[[#This Row],[Column1]]=3,Table1[[#This Row],[Column3]]=1),8,0)</f>
        <v>0</v>
      </c>
      <c r="AE11" s="57">
        <f>IF(AND(Table1[[#This Row],[Column1]]=3,Table1[[#This Row],[Column3]]=2),9,0)</f>
        <v>0</v>
      </c>
      <c r="AF11" s="57">
        <f>IF(AND(Table1[[#This Row],[Column1]]=3,Table1[[#This Row],[Column3]]=3),10,0)</f>
        <v>0</v>
      </c>
      <c r="AG11" s="57">
        <f>IF(AND(Table1[[#This Row],[Column1]]=4,Table1[[#This Row],[Column3]]=1),11,0)</f>
        <v>0</v>
      </c>
      <c r="AH11" s="57">
        <f>IF(AND(Table1[[#This Row],[Column1]]=4,Table1[[#This Row],[Column3]]=2),12,0)</f>
        <v>0</v>
      </c>
      <c r="AI11" s="57">
        <f>IF(AND(Table1[[#This Row],[Column1]]=4,Table1[[#This Row],[Column3]]=3),13,0)</f>
        <v>0</v>
      </c>
      <c r="AJ11" s="57">
        <f>IF(AND(Table1[[#This Row],[Column1]]=5,Table1[[#This Row],[Column3]]=1),14,0)</f>
        <v>0</v>
      </c>
      <c r="AK11" s="57">
        <f>IF(AND(Table1[[#This Row],[Column1]]=5,Table1[[#This Row],[Column3]]=2),15,0)</f>
        <v>0</v>
      </c>
      <c r="AL11" s="57">
        <f>IF(AND(Table1[[#This Row],[Column1]]=5,Table1[[#This Row],[Column3]]=3),16,0)</f>
        <v>0</v>
      </c>
      <c r="AM11" s="57">
        <f>IF(AND(Table1[[#This Row],[Column1]]=6,Table1[[#This Row],[Column3]]=1),17,0)</f>
        <v>0</v>
      </c>
      <c r="AN11" s="57">
        <f>IF(AND(Table1[[#This Row],[Column1]]=6,Table1[[#This Row],[Column3]]=2),18,0)</f>
        <v>0</v>
      </c>
      <c r="AO11" s="57">
        <f>IF(AND(Table1[[#This Row],[Column1]]=6,Table1[[#This Row],[Column3]]=3),19,0)</f>
        <v>0</v>
      </c>
      <c r="AP11" s="57">
        <f>IF(AND(Table1[[#This Row],[Column1]]=7,Table1[[#This Row],[Column3]]=1),20,0)</f>
        <v>0</v>
      </c>
      <c r="AQ11" s="57">
        <f>IF(AND(Table1[[#This Row],[Column1]]=7,Table1[[#This Row],[Column3]]=2),21,0)</f>
        <v>0</v>
      </c>
      <c r="AR11" s="57">
        <f>IF(AND(Table1[[#This Row],[Column1]]=7,Table1[[#This Row],[Column3]]=3),22,0)</f>
        <v>0</v>
      </c>
      <c r="AS11" s="57">
        <f>IF(AND(Table1[[#This Row],[Column1]]=8,Table1[[#This Row],[Column3]]=1),23,0)</f>
        <v>0</v>
      </c>
      <c r="AT11" s="57">
        <f>IF(AND(Table1[[#This Row],[Column1]]=8,Table1[[#This Row],[Column3]]=2),24,0)</f>
        <v>0</v>
      </c>
      <c r="AU11" s="57">
        <f>IF(AND(Table1[[#This Row],[Column1]]=8,Table1[[#This Row],[Column3]]=3),25,0)</f>
        <v>0</v>
      </c>
      <c r="AV11" s="57">
        <f>SUM(Table1[[#This Row],[Laden LNG]:[Idle HFO]])</f>
        <v>0</v>
      </c>
      <c r="AW11" s="57">
        <f>IF(AND(Table1[[#This Row],[Reliq]]=1,Table1[[#This Row],[Column3]]=1),26,0)</f>
        <v>0</v>
      </c>
      <c r="AX11" s="57">
        <f>IF(AND(Table1[[#This Row],[Reliq]]=1,Table1[[#This Row],[Column3]]=2),27,0)</f>
        <v>0</v>
      </c>
      <c r="AY11" s="57">
        <f>IF(AND(Table1[[#This Row],[Reliq]]=1,Table1[[#This Row],[Column3]]=3),28,0)</f>
        <v>0</v>
      </c>
      <c r="AZ11" s="57">
        <f>SUM(Table1[[#This Row],[Cooling LNG]:[Cooling HFO]])</f>
        <v>0</v>
      </c>
      <c r="BA11" s="57">
        <f t="shared" si="6"/>
        <v>3</v>
      </c>
    </row>
    <row r="12" spans="1:53" ht="20.100000000000001" customHeight="1" x14ac:dyDescent="0.2">
      <c r="A12" s="122">
        <v>8</v>
      </c>
      <c r="B12" s="103" t="str">
        <f t="shared" si="8"/>
        <v/>
      </c>
      <c r="C12" s="104" t="str">
        <f t="shared" si="9"/>
        <v/>
      </c>
      <c r="D12" s="43"/>
      <c r="E12" s="44"/>
      <c r="F12" s="45"/>
      <c r="G12" s="45"/>
      <c r="H12" s="45"/>
      <c r="I12" s="45"/>
      <c r="J12" s="45"/>
      <c r="K12" s="81"/>
      <c r="L12" s="95">
        <f t="shared" si="0"/>
        <v>0</v>
      </c>
      <c r="M12" s="96">
        <f t="shared" si="7"/>
        <v>0</v>
      </c>
      <c r="N12" s="94">
        <f t="shared" si="1"/>
        <v>0</v>
      </c>
      <c r="O12" s="91"/>
      <c r="P12" s="57"/>
      <c r="Q12" s="57">
        <f t="shared" si="2"/>
        <v>3</v>
      </c>
      <c r="R12" s="57" t="s">
        <v>61</v>
      </c>
      <c r="S12" s="57">
        <f t="shared" si="3"/>
        <v>1</v>
      </c>
      <c r="T12" s="57"/>
      <c r="U12" s="57">
        <f t="shared" si="4"/>
        <v>3</v>
      </c>
      <c r="V12" s="57"/>
      <c r="W12" s="57">
        <f t="shared" si="5"/>
        <v>4</v>
      </c>
      <c r="X12" s="57">
        <f>IF(AND(Table1[[#This Row],[Column1]]=2,Table1[[#This Row],[Column3]]=1,Table1[[#This Row],[Column2]]=1),2,0)</f>
        <v>0</v>
      </c>
      <c r="Y12" s="57">
        <f>IF(AND(Table1[[#This Row],[Column1]]=2,Table1[[#This Row],[Column3]]=2,Table1[[#This Row],[Column2]]=1),3,0)</f>
        <v>0</v>
      </c>
      <c r="Z12" s="57">
        <f>IF(AND(Table1[[#This Row],[Column1]]=2,Table1[[#This Row],[Column3]]=3,Table1[[#This Row],[Column2]]=1),4,0)</f>
        <v>0</v>
      </c>
      <c r="AA12" s="57">
        <f>IF(AND(Table1[[#This Row],[Column1]]=2,Table1[[#This Row],[Column3]]=1,Table1[[#This Row],[Column2]]=2),5,0)</f>
        <v>0</v>
      </c>
      <c r="AB12" s="57">
        <f>IF(AND(Table1[[#This Row],[Column1]]=2,Table1[[#This Row],[Column3]]=2,Table1[[#This Row],[Column2]]=2),6,0)</f>
        <v>0</v>
      </c>
      <c r="AC12" s="57">
        <f>IF(AND(Table1[[#This Row],[Column1]]=2,Table1[[#This Row],[Column3]]=3,Table1[[#This Row],[Column2]]=2),7,0)</f>
        <v>0</v>
      </c>
      <c r="AD12" s="57">
        <f>IF(AND(Table1[[#This Row],[Column1]]=3,Table1[[#This Row],[Column3]]=1),8,0)</f>
        <v>0</v>
      </c>
      <c r="AE12" s="57">
        <f>IF(AND(Table1[[#This Row],[Column1]]=3,Table1[[#This Row],[Column3]]=2),9,0)</f>
        <v>0</v>
      </c>
      <c r="AF12" s="57">
        <f>IF(AND(Table1[[#This Row],[Column1]]=3,Table1[[#This Row],[Column3]]=3),10,0)</f>
        <v>0</v>
      </c>
      <c r="AG12" s="57">
        <f>IF(AND(Table1[[#This Row],[Column1]]=4,Table1[[#This Row],[Column3]]=1),11,0)</f>
        <v>0</v>
      </c>
      <c r="AH12" s="57">
        <f>IF(AND(Table1[[#This Row],[Column1]]=4,Table1[[#This Row],[Column3]]=2),12,0)</f>
        <v>0</v>
      </c>
      <c r="AI12" s="57">
        <f>IF(AND(Table1[[#This Row],[Column1]]=4,Table1[[#This Row],[Column3]]=3),13,0)</f>
        <v>0</v>
      </c>
      <c r="AJ12" s="57">
        <f>IF(AND(Table1[[#This Row],[Column1]]=5,Table1[[#This Row],[Column3]]=1),14,0)</f>
        <v>0</v>
      </c>
      <c r="AK12" s="57">
        <f>IF(AND(Table1[[#This Row],[Column1]]=5,Table1[[#This Row],[Column3]]=2),15,0)</f>
        <v>0</v>
      </c>
      <c r="AL12" s="57">
        <f>IF(AND(Table1[[#This Row],[Column1]]=5,Table1[[#This Row],[Column3]]=3),16,0)</f>
        <v>0</v>
      </c>
      <c r="AM12" s="57">
        <f>IF(AND(Table1[[#This Row],[Column1]]=6,Table1[[#This Row],[Column3]]=1),17,0)</f>
        <v>0</v>
      </c>
      <c r="AN12" s="57">
        <f>IF(AND(Table1[[#This Row],[Column1]]=6,Table1[[#This Row],[Column3]]=2),18,0)</f>
        <v>0</v>
      </c>
      <c r="AO12" s="57">
        <f>IF(AND(Table1[[#This Row],[Column1]]=6,Table1[[#This Row],[Column3]]=3),19,0)</f>
        <v>0</v>
      </c>
      <c r="AP12" s="57">
        <f>IF(AND(Table1[[#This Row],[Column1]]=7,Table1[[#This Row],[Column3]]=1),20,0)</f>
        <v>0</v>
      </c>
      <c r="AQ12" s="57">
        <f>IF(AND(Table1[[#This Row],[Column1]]=7,Table1[[#This Row],[Column3]]=2),21,0)</f>
        <v>0</v>
      </c>
      <c r="AR12" s="57">
        <f>IF(AND(Table1[[#This Row],[Column1]]=7,Table1[[#This Row],[Column3]]=3),22,0)</f>
        <v>0</v>
      </c>
      <c r="AS12" s="57">
        <f>IF(AND(Table1[[#This Row],[Column1]]=8,Table1[[#This Row],[Column3]]=1),23,0)</f>
        <v>0</v>
      </c>
      <c r="AT12" s="57">
        <f>IF(AND(Table1[[#This Row],[Column1]]=8,Table1[[#This Row],[Column3]]=2),24,0)</f>
        <v>0</v>
      </c>
      <c r="AU12" s="57">
        <f>IF(AND(Table1[[#This Row],[Column1]]=8,Table1[[#This Row],[Column3]]=3),25,0)</f>
        <v>0</v>
      </c>
      <c r="AV12" s="57">
        <f>SUM(Table1[[#This Row],[Laden LNG]:[Idle HFO]])</f>
        <v>0</v>
      </c>
      <c r="AW12" s="57">
        <f>IF(AND(Table1[[#This Row],[Reliq]]=1,Table1[[#This Row],[Column3]]=1),26,0)</f>
        <v>0</v>
      </c>
      <c r="AX12" s="57">
        <f>IF(AND(Table1[[#This Row],[Reliq]]=1,Table1[[#This Row],[Column3]]=2),27,0)</f>
        <v>0</v>
      </c>
      <c r="AY12" s="57">
        <f>IF(AND(Table1[[#This Row],[Reliq]]=1,Table1[[#This Row],[Column3]]=3),28,0)</f>
        <v>0</v>
      </c>
      <c r="AZ12" s="57">
        <f>SUM(Table1[[#This Row],[Cooling LNG]:[Cooling HFO]])</f>
        <v>0</v>
      </c>
      <c r="BA12" s="57">
        <f t="shared" si="6"/>
        <v>3</v>
      </c>
    </row>
    <row r="13" spans="1:53" ht="20.100000000000001" customHeight="1" x14ac:dyDescent="0.2">
      <c r="A13" s="122">
        <v>9</v>
      </c>
      <c r="B13" s="103" t="str">
        <f t="shared" si="8"/>
        <v/>
      </c>
      <c r="C13" s="104" t="str">
        <f t="shared" si="9"/>
        <v/>
      </c>
      <c r="D13" s="43"/>
      <c r="E13" s="44"/>
      <c r="F13" s="45"/>
      <c r="G13" s="45"/>
      <c r="H13" s="45"/>
      <c r="I13" s="45"/>
      <c r="J13" s="45"/>
      <c r="K13" s="81"/>
      <c r="L13" s="95">
        <f t="shared" si="0"/>
        <v>0</v>
      </c>
      <c r="M13" s="96">
        <f t="shared" si="7"/>
        <v>0</v>
      </c>
      <c r="N13" s="94">
        <f t="shared" si="1"/>
        <v>0</v>
      </c>
      <c r="O13" s="91"/>
      <c r="P13" s="57"/>
      <c r="Q13" s="57">
        <f t="shared" si="2"/>
        <v>3</v>
      </c>
      <c r="R13" s="57"/>
      <c r="S13" s="57">
        <f t="shared" si="3"/>
        <v>1</v>
      </c>
      <c r="T13" s="57"/>
      <c r="U13" s="57">
        <f t="shared" si="4"/>
        <v>3</v>
      </c>
      <c r="V13" s="57"/>
      <c r="W13" s="57">
        <f t="shared" si="5"/>
        <v>4</v>
      </c>
      <c r="X13" s="57">
        <f>IF(AND(Table1[[#This Row],[Column1]]=2,Table1[[#This Row],[Column3]]=1,Table1[[#This Row],[Column2]]=1),2,0)</f>
        <v>0</v>
      </c>
      <c r="Y13" s="57">
        <f>IF(AND(Table1[[#This Row],[Column1]]=2,Table1[[#This Row],[Column3]]=2,Table1[[#This Row],[Column2]]=1),3,0)</f>
        <v>0</v>
      </c>
      <c r="Z13" s="57">
        <f>IF(AND(Table1[[#This Row],[Column1]]=2,Table1[[#This Row],[Column3]]=3,Table1[[#This Row],[Column2]]=1),4,0)</f>
        <v>0</v>
      </c>
      <c r="AA13" s="57">
        <f>IF(AND(Table1[[#This Row],[Column1]]=2,Table1[[#This Row],[Column3]]=1,Table1[[#This Row],[Column2]]=2),5,0)</f>
        <v>0</v>
      </c>
      <c r="AB13" s="57">
        <f>IF(AND(Table1[[#This Row],[Column1]]=2,Table1[[#This Row],[Column3]]=2,Table1[[#This Row],[Column2]]=2),6,0)</f>
        <v>0</v>
      </c>
      <c r="AC13" s="57">
        <f>IF(AND(Table1[[#This Row],[Column1]]=2,Table1[[#This Row],[Column3]]=3,Table1[[#This Row],[Column2]]=2),7,0)</f>
        <v>0</v>
      </c>
      <c r="AD13" s="57">
        <f>IF(AND(Table1[[#This Row],[Column1]]=3,Table1[[#This Row],[Column3]]=1),8,0)</f>
        <v>0</v>
      </c>
      <c r="AE13" s="57">
        <f>IF(AND(Table1[[#This Row],[Column1]]=3,Table1[[#This Row],[Column3]]=2),9,0)</f>
        <v>0</v>
      </c>
      <c r="AF13" s="57">
        <f>IF(AND(Table1[[#This Row],[Column1]]=3,Table1[[#This Row],[Column3]]=3),10,0)</f>
        <v>0</v>
      </c>
      <c r="AG13" s="57">
        <f>IF(AND(Table1[[#This Row],[Column1]]=4,Table1[[#This Row],[Column3]]=1),11,0)</f>
        <v>0</v>
      </c>
      <c r="AH13" s="57">
        <f>IF(AND(Table1[[#This Row],[Column1]]=4,Table1[[#This Row],[Column3]]=2),12,0)</f>
        <v>0</v>
      </c>
      <c r="AI13" s="57">
        <f>IF(AND(Table1[[#This Row],[Column1]]=4,Table1[[#This Row],[Column3]]=3),13,0)</f>
        <v>0</v>
      </c>
      <c r="AJ13" s="57">
        <f>IF(AND(Table1[[#This Row],[Column1]]=5,Table1[[#This Row],[Column3]]=1),14,0)</f>
        <v>0</v>
      </c>
      <c r="AK13" s="57">
        <f>IF(AND(Table1[[#This Row],[Column1]]=5,Table1[[#This Row],[Column3]]=2),15,0)</f>
        <v>0</v>
      </c>
      <c r="AL13" s="57">
        <f>IF(AND(Table1[[#This Row],[Column1]]=5,Table1[[#This Row],[Column3]]=3),16,0)</f>
        <v>0</v>
      </c>
      <c r="AM13" s="57">
        <f>IF(AND(Table1[[#This Row],[Column1]]=6,Table1[[#This Row],[Column3]]=1),17,0)</f>
        <v>0</v>
      </c>
      <c r="AN13" s="57">
        <f>IF(AND(Table1[[#This Row],[Column1]]=6,Table1[[#This Row],[Column3]]=2),18,0)</f>
        <v>0</v>
      </c>
      <c r="AO13" s="57">
        <f>IF(AND(Table1[[#This Row],[Column1]]=6,Table1[[#This Row],[Column3]]=3),19,0)</f>
        <v>0</v>
      </c>
      <c r="AP13" s="57">
        <f>IF(AND(Table1[[#This Row],[Column1]]=7,Table1[[#This Row],[Column3]]=1),20,0)</f>
        <v>0</v>
      </c>
      <c r="AQ13" s="57">
        <f>IF(AND(Table1[[#This Row],[Column1]]=7,Table1[[#This Row],[Column3]]=2),21,0)</f>
        <v>0</v>
      </c>
      <c r="AR13" s="57">
        <f>IF(AND(Table1[[#This Row],[Column1]]=7,Table1[[#This Row],[Column3]]=3),22,0)</f>
        <v>0</v>
      </c>
      <c r="AS13" s="57">
        <f>IF(AND(Table1[[#This Row],[Column1]]=8,Table1[[#This Row],[Column3]]=1),23,0)</f>
        <v>0</v>
      </c>
      <c r="AT13" s="57">
        <f>IF(AND(Table1[[#This Row],[Column1]]=8,Table1[[#This Row],[Column3]]=2),24,0)</f>
        <v>0</v>
      </c>
      <c r="AU13" s="57">
        <f>IF(AND(Table1[[#This Row],[Column1]]=8,Table1[[#This Row],[Column3]]=3),25,0)</f>
        <v>0</v>
      </c>
      <c r="AV13" s="57">
        <f>SUM(Table1[[#This Row],[Laden LNG]:[Idle HFO]])</f>
        <v>0</v>
      </c>
      <c r="AW13" s="57">
        <f>IF(AND(Table1[[#This Row],[Reliq]]=1,Table1[[#This Row],[Column3]]=1),26,0)</f>
        <v>0</v>
      </c>
      <c r="AX13" s="57">
        <f>IF(AND(Table1[[#This Row],[Reliq]]=1,Table1[[#This Row],[Column3]]=2),27,0)</f>
        <v>0</v>
      </c>
      <c r="AY13" s="57">
        <f>IF(AND(Table1[[#This Row],[Reliq]]=1,Table1[[#This Row],[Column3]]=3),28,0)</f>
        <v>0</v>
      </c>
      <c r="AZ13" s="57">
        <f>SUM(Table1[[#This Row],[Cooling LNG]:[Cooling HFO]])</f>
        <v>0</v>
      </c>
      <c r="BA13" s="57">
        <f t="shared" si="6"/>
        <v>3</v>
      </c>
    </row>
    <row r="14" spans="1:53" ht="20.100000000000001" customHeight="1" x14ac:dyDescent="0.2">
      <c r="A14" s="122">
        <v>10</v>
      </c>
      <c r="B14" s="103" t="str">
        <f t="shared" si="8"/>
        <v/>
      </c>
      <c r="C14" s="104" t="str">
        <f t="shared" si="9"/>
        <v/>
      </c>
      <c r="D14" s="43"/>
      <c r="E14" s="44"/>
      <c r="F14" s="45"/>
      <c r="G14" s="45"/>
      <c r="H14" s="45"/>
      <c r="I14" s="45"/>
      <c r="J14" s="45"/>
      <c r="K14" s="81"/>
      <c r="L14" s="95">
        <f t="shared" si="0"/>
        <v>0</v>
      </c>
      <c r="M14" s="96">
        <f t="shared" si="7"/>
        <v>0</v>
      </c>
      <c r="N14" s="94">
        <f t="shared" si="1"/>
        <v>0</v>
      </c>
      <c r="O14" s="91"/>
      <c r="P14" s="57"/>
      <c r="Q14" s="57">
        <f t="shared" si="2"/>
        <v>3</v>
      </c>
      <c r="R14" s="57"/>
      <c r="S14" s="57">
        <f t="shared" si="3"/>
        <v>1</v>
      </c>
      <c r="T14" s="57"/>
      <c r="U14" s="57">
        <f t="shared" si="4"/>
        <v>3</v>
      </c>
      <c r="V14" s="57"/>
      <c r="W14" s="57">
        <f t="shared" si="5"/>
        <v>4</v>
      </c>
      <c r="X14" s="57">
        <f>IF(AND(Table1[[#This Row],[Column1]]=2,Table1[[#This Row],[Column3]]=1,Table1[[#This Row],[Column2]]=1),2,0)</f>
        <v>0</v>
      </c>
      <c r="Y14" s="57">
        <f>IF(AND(Table1[[#This Row],[Column1]]=2,Table1[[#This Row],[Column3]]=2,Table1[[#This Row],[Column2]]=1),3,0)</f>
        <v>0</v>
      </c>
      <c r="Z14" s="57">
        <f>IF(AND(Table1[[#This Row],[Column1]]=2,Table1[[#This Row],[Column3]]=3,Table1[[#This Row],[Column2]]=1),4,0)</f>
        <v>0</v>
      </c>
      <c r="AA14" s="57">
        <f>IF(AND(Table1[[#This Row],[Column1]]=2,Table1[[#This Row],[Column3]]=1,Table1[[#This Row],[Column2]]=2),5,0)</f>
        <v>0</v>
      </c>
      <c r="AB14" s="57">
        <f>IF(AND(Table1[[#This Row],[Column1]]=2,Table1[[#This Row],[Column3]]=2,Table1[[#This Row],[Column2]]=2),6,0)</f>
        <v>0</v>
      </c>
      <c r="AC14" s="57">
        <f>IF(AND(Table1[[#This Row],[Column1]]=2,Table1[[#This Row],[Column3]]=3,Table1[[#This Row],[Column2]]=2),7,0)</f>
        <v>0</v>
      </c>
      <c r="AD14" s="57">
        <f>IF(AND(Table1[[#This Row],[Column1]]=3,Table1[[#This Row],[Column3]]=1),8,0)</f>
        <v>0</v>
      </c>
      <c r="AE14" s="57">
        <f>IF(AND(Table1[[#This Row],[Column1]]=3,Table1[[#This Row],[Column3]]=2),9,0)</f>
        <v>0</v>
      </c>
      <c r="AF14" s="57">
        <f>IF(AND(Table1[[#This Row],[Column1]]=3,Table1[[#This Row],[Column3]]=3),10,0)</f>
        <v>0</v>
      </c>
      <c r="AG14" s="57">
        <f>IF(AND(Table1[[#This Row],[Column1]]=4,Table1[[#This Row],[Column3]]=1),11,0)</f>
        <v>0</v>
      </c>
      <c r="AH14" s="57">
        <f>IF(AND(Table1[[#This Row],[Column1]]=4,Table1[[#This Row],[Column3]]=2),12,0)</f>
        <v>0</v>
      </c>
      <c r="AI14" s="57">
        <f>IF(AND(Table1[[#This Row],[Column1]]=4,Table1[[#This Row],[Column3]]=3),13,0)</f>
        <v>0</v>
      </c>
      <c r="AJ14" s="57">
        <f>IF(AND(Table1[[#This Row],[Column1]]=5,Table1[[#This Row],[Column3]]=1),14,0)</f>
        <v>0</v>
      </c>
      <c r="AK14" s="57">
        <f>IF(AND(Table1[[#This Row],[Column1]]=5,Table1[[#This Row],[Column3]]=2),15,0)</f>
        <v>0</v>
      </c>
      <c r="AL14" s="57">
        <f>IF(AND(Table1[[#This Row],[Column1]]=5,Table1[[#This Row],[Column3]]=3),16,0)</f>
        <v>0</v>
      </c>
      <c r="AM14" s="57">
        <f>IF(AND(Table1[[#This Row],[Column1]]=6,Table1[[#This Row],[Column3]]=1),17,0)</f>
        <v>0</v>
      </c>
      <c r="AN14" s="57">
        <f>IF(AND(Table1[[#This Row],[Column1]]=6,Table1[[#This Row],[Column3]]=2),18,0)</f>
        <v>0</v>
      </c>
      <c r="AO14" s="57">
        <f>IF(AND(Table1[[#This Row],[Column1]]=6,Table1[[#This Row],[Column3]]=3),19,0)</f>
        <v>0</v>
      </c>
      <c r="AP14" s="57">
        <f>IF(AND(Table1[[#This Row],[Column1]]=7,Table1[[#This Row],[Column3]]=1),20,0)</f>
        <v>0</v>
      </c>
      <c r="AQ14" s="57">
        <f>IF(AND(Table1[[#This Row],[Column1]]=7,Table1[[#This Row],[Column3]]=2),21,0)</f>
        <v>0</v>
      </c>
      <c r="AR14" s="57">
        <f>IF(AND(Table1[[#This Row],[Column1]]=7,Table1[[#This Row],[Column3]]=3),22,0)</f>
        <v>0</v>
      </c>
      <c r="AS14" s="57">
        <f>IF(AND(Table1[[#This Row],[Column1]]=8,Table1[[#This Row],[Column3]]=1),23,0)</f>
        <v>0</v>
      </c>
      <c r="AT14" s="57">
        <f>IF(AND(Table1[[#This Row],[Column1]]=8,Table1[[#This Row],[Column3]]=2),24,0)</f>
        <v>0</v>
      </c>
      <c r="AU14" s="57">
        <f>IF(AND(Table1[[#This Row],[Column1]]=8,Table1[[#This Row],[Column3]]=3),25,0)</f>
        <v>0</v>
      </c>
      <c r="AV14" s="57">
        <f>SUM(Table1[[#This Row],[Laden LNG]:[Idle HFO]])</f>
        <v>0</v>
      </c>
      <c r="AW14" s="57">
        <f>IF(AND(Table1[[#This Row],[Reliq]]=1,Table1[[#This Row],[Column3]]=1),26,0)</f>
        <v>0</v>
      </c>
      <c r="AX14" s="57">
        <f>IF(AND(Table1[[#This Row],[Reliq]]=1,Table1[[#This Row],[Column3]]=2),27,0)</f>
        <v>0</v>
      </c>
      <c r="AY14" s="57">
        <f>IF(AND(Table1[[#This Row],[Reliq]]=1,Table1[[#This Row],[Column3]]=3),28,0)</f>
        <v>0</v>
      </c>
      <c r="AZ14" s="57">
        <f>SUM(Table1[[#This Row],[Cooling LNG]:[Cooling HFO]])</f>
        <v>0</v>
      </c>
      <c r="BA14" s="57">
        <f t="shared" si="6"/>
        <v>3</v>
      </c>
    </row>
    <row r="15" spans="1:53" ht="20.100000000000001" customHeight="1" x14ac:dyDescent="0.2">
      <c r="A15" s="122">
        <v>11</v>
      </c>
      <c r="B15" s="103" t="str">
        <f t="shared" si="8"/>
        <v/>
      </c>
      <c r="C15" s="104" t="str">
        <f t="shared" si="9"/>
        <v/>
      </c>
      <c r="D15" s="43"/>
      <c r="E15" s="44"/>
      <c r="F15" s="45"/>
      <c r="G15" s="45"/>
      <c r="H15" s="45"/>
      <c r="I15" s="45"/>
      <c r="J15" s="45"/>
      <c r="K15" s="81"/>
      <c r="L15" s="95">
        <f t="shared" si="0"/>
        <v>0</v>
      </c>
      <c r="M15" s="96">
        <f t="shared" si="7"/>
        <v>0</v>
      </c>
      <c r="N15" s="94">
        <f t="shared" si="1"/>
        <v>0</v>
      </c>
      <c r="O15" s="91"/>
      <c r="P15" s="57"/>
      <c r="Q15" s="57">
        <f t="shared" si="2"/>
        <v>3</v>
      </c>
      <c r="R15" s="57"/>
      <c r="S15" s="57">
        <f t="shared" si="3"/>
        <v>1</v>
      </c>
      <c r="T15" s="57"/>
      <c r="U15" s="57">
        <f t="shared" si="4"/>
        <v>3</v>
      </c>
      <c r="V15" s="57"/>
      <c r="W15" s="57">
        <f t="shared" si="5"/>
        <v>4</v>
      </c>
      <c r="X15" s="57">
        <f>IF(AND(Table1[[#This Row],[Column1]]=2,Table1[[#This Row],[Column3]]=1,Table1[[#This Row],[Column2]]=1),2,0)</f>
        <v>0</v>
      </c>
      <c r="Y15" s="57">
        <f>IF(AND(Table1[[#This Row],[Column1]]=2,Table1[[#This Row],[Column3]]=2,Table1[[#This Row],[Column2]]=1),3,0)</f>
        <v>0</v>
      </c>
      <c r="Z15" s="57">
        <f>IF(AND(Table1[[#This Row],[Column1]]=2,Table1[[#This Row],[Column3]]=3,Table1[[#This Row],[Column2]]=1),4,0)</f>
        <v>0</v>
      </c>
      <c r="AA15" s="57">
        <f>IF(AND(Table1[[#This Row],[Column1]]=2,Table1[[#This Row],[Column3]]=1,Table1[[#This Row],[Column2]]=2),5,0)</f>
        <v>0</v>
      </c>
      <c r="AB15" s="57">
        <f>IF(AND(Table1[[#This Row],[Column1]]=2,Table1[[#This Row],[Column3]]=2,Table1[[#This Row],[Column2]]=2),6,0)</f>
        <v>0</v>
      </c>
      <c r="AC15" s="57">
        <f>IF(AND(Table1[[#This Row],[Column1]]=2,Table1[[#This Row],[Column3]]=3,Table1[[#This Row],[Column2]]=2),7,0)</f>
        <v>0</v>
      </c>
      <c r="AD15" s="57">
        <f>IF(AND(Table1[[#This Row],[Column1]]=3,Table1[[#This Row],[Column3]]=1),8,0)</f>
        <v>0</v>
      </c>
      <c r="AE15" s="57">
        <f>IF(AND(Table1[[#This Row],[Column1]]=3,Table1[[#This Row],[Column3]]=2),9,0)</f>
        <v>0</v>
      </c>
      <c r="AF15" s="57">
        <f>IF(AND(Table1[[#This Row],[Column1]]=3,Table1[[#This Row],[Column3]]=3),10,0)</f>
        <v>0</v>
      </c>
      <c r="AG15" s="57">
        <f>IF(AND(Table1[[#This Row],[Column1]]=4,Table1[[#This Row],[Column3]]=1),11,0)</f>
        <v>0</v>
      </c>
      <c r="AH15" s="57">
        <f>IF(AND(Table1[[#This Row],[Column1]]=4,Table1[[#This Row],[Column3]]=2),12,0)</f>
        <v>0</v>
      </c>
      <c r="AI15" s="57">
        <f>IF(AND(Table1[[#This Row],[Column1]]=4,Table1[[#This Row],[Column3]]=3),13,0)</f>
        <v>0</v>
      </c>
      <c r="AJ15" s="57">
        <f>IF(AND(Table1[[#This Row],[Column1]]=5,Table1[[#This Row],[Column3]]=1),14,0)</f>
        <v>0</v>
      </c>
      <c r="AK15" s="57">
        <f>IF(AND(Table1[[#This Row],[Column1]]=5,Table1[[#This Row],[Column3]]=2),15,0)</f>
        <v>0</v>
      </c>
      <c r="AL15" s="57">
        <f>IF(AND(Table1[[#This Row],[Column1]]=5,Table1[[#This Row],[Column3]]=3),16,0)</f>
        <v>0</v>
      </c>
      <c r="AM15" s="57">
        <f>IF(AND(Table1[[#This Row],[Column1]]=6,Table1[[#This Row],[Column3]]=1),17,0)</f>
        <v>0</v>
      </c>
      <c r="AN15" s="57">
        <f>IF(AND(Table1[[#This Row],[Column1]]=6,Table1[[#This Row],[Column3]]=2),18,0)</f>
        <v>0</v>
      </c>
      <c r="AO15" s="57">
        <f>IF(AND(Table1[[#This Row],[Column1]]=6,Table1[[#This Row],[Column3]]=3),19,0)</f>
        <v>0</v>
      </c>
      <c r="AP15" s="57">
        <f>IF(AND(Table1[[#This Row],[Column1]]=7,Table1[[#This Row],[Column3]]=1),20,0)</f>
        <v>0</v>
      </c>
      <c r="AQ15" s="57">
        <f>IF(AND(Table1[[#This Row],[Column1]]=7,Table1[[#This Row],[Column3]]=2),21,0)</f>
        <v>0</v>
      </c>
      <c r="AR15" s="57">
        <f>IF(AND(Table1[[#This Row],[Column1]]=7,Table1[[#This Row],[Column3]]=3),22,0)</f>
        <v>0</v>
      </c>
      <c r="AS15" s="57">
        <f>IF(AND(Table1[[#This Row],[Column1]]=8,Table1[[#This Row],[Column3]]=1),23,0)</f>
        <v>0</v>
      </c>
      <c r="AT15" s="57">
        <f>IF(AND(Table1[[#This Row],[Column1]]=8,Table1[[#This Row],[Column3]]=2),24,0)</f>
        <v>0</v>
      </c>
      <c r="AU15" s="57">
        <f>IF(AND(Table1[[#This Row],[Column1]]=8,Table1[[#This Row],[Column3]]=3),25,0)</f>
        <v>0</v>
      </c>
      <c r="AV15" s="57">
        <f>SUM(Table1[[#This Row],[Laden LNG]:[Idle HFO]])</f>
        <v>0</v>
      </c>
      <c r="AW15" s="57">
        <f>IF(AND(Table1[[#This Row],[Reliq]]=1,Table1[[#This Row],[Column3]]=1),26,0)</f>
        <v>0</v>
      </c>
      <c r="AX15" s="57">
        <f>IF(AND(Table1[[#This Row],[Reliq]]=1,Table1[[#This Row],[Column3]]=2),27,0)</f>
        <v>0</v>
      </c>
      <c r="AY15" s="57">
        <f>IF(AND(Table1[[#This Row],[Reliq]]=1,Table1[[#This Row],[Column3]]=3),28,0)</f>
        <v>0</v>
      </c>
      <c r="AZ15" s="57">
        <f>SUM(Table1[[#This Row],[Cooling LNG]:[Cooling HFO]])</f>
        <v>0</v>
      </c>
      <c r="BA15" s="57">
        <f t="shared" si="6"/>
        <v>3</v>
      </c>
    </row>
    <row r="16" spans="1:53" ht="20.100000000000001" customHeight="1" x14ac:dyDescent="0.2">
      <c r="A16" s="122">
        <v>12</v>
      </c>
      <c r="B16" s="103" t="str">
        <f t="shared" si="8"/>
        <v/>
      </c>
      <c r="C16" s="104" t="str">
        <f t="shared" si="9"/>
        <v/>
      </c>
      <c r="D16" s="43"/>
      <c r="E16" s="44"/>
      <c r="F16" s="45"/>
      <c r="G16" s="45"/>
      <c r="H16" s="45"/>
      <c r="I16" s="45"/>
      <c r="J16" s="45"/>
      <c r="K16" s="81"/>
      <c r="L16" s="95">
        <f t="shared" si="0"/>
        <v>0</v>
      </c>
      <c r="M16" s="96">
        <f t="shared" si="7"/>
        <v>0</v>
      </c>
      <c r="N16" s="97">
        <f t="shared" si="1"/>
        <v>0</v>
      </c>
      <c r="O16" s="98"/>
      <c r="P16" s="57"/>
      <c r="Q16" s="57">
        <f t="shared" si="2"/>
        <v>3</v>
      </c>
      <c r="R16" s="57"/>
      <c r="S16" s="57">
        <f t="shared" si="3"/>
        <v>1</v>
      </c>
      <c r="T16" s="57"/>
      <c r="U16" s="57">
        <f t="shared" si="4"/>
        <v>3</v>
      </c>
      <c r="V16" s="57"/>
      <c r="W16" s="57">
        <f t="shared" si="5"/>
        <v>4</v>
      </c>
      <c r="X16" s="57">
        <f>IF(AND(Table1[[#This Row],[Column1]]=2,Table1[[#This Row],[Column3]]=1,Table1[[#This Row],[Column2]]=1),2,0)</f>
        <v>0</v>
      </c>
      <c r="Y16" s="57">
        <f>IF(AND(Table1[[#This Row],[Column1]]=2,Table1[[#This Row],[Column3]]=2,Table1[[#This Row],[Column2]]=1),3,0)</f>
        <v>0</v>
      </c>
      <c r="Z16" s="57">
        <f>IF(AND(Table1[[#This Row],[Column1]]=2,Table1[[#This Row],[Column3]]=3,Table1[[#This Row],[Column2]]=1),4,0)</f>
        <v>0</v>
      </c>
      <c r="AA16" s="57">
        <f>IF(AND(Table1[[#This Row],[Column1]]=2,Table1[[#This Row],[Column3]]=1,Table1[[#This Row],[Column2]]=2),5,0)</f>
        <v>0</v>
      </c>
      <c r="AB16" s="57">
        <f>IF(AND(Table1[[#This Row],[Column1]]=2,Table1[[#This Row],[Column3]]=2,Table1[[#This Row],[Column2]]=2),6,0)</f>
        <v>0</v>
      </c>
      <c r="AC16" s="57">
        <f>IF(AND(Table1[[#This Row],[Column1]]=2,Table1[[#This Row],[Column3]]=3,Table1[[#This Row],[Column2]]=2),7,0)</f>
        <v>0</v>
      </c>
      <c r="AD16" s="57">
        <f>IF(AND(Table1[[#This Row],[Column1]]=3,Table1[[#This Row],[Column3]]=1),8,0)</f>
        <v>0</v>
      </c>
      <c r="AE16" s="57">
        <f>IF(AND(Table1[[#This Row],[Column1]]=3,Table1[[#This Row],[Column3]]=2),9,0)</f>
        <v>0</v>
      </c>
      <c r="AF16" s="57">
        <f>IF(AND(Table1[[#This Row],[Column1]]=3,Table1[[#This Row],[Column3]]=3),10,0)</f>
        <v>0</v>
      </c>
      <c r="AG16" s="57">
        <f>IF(AND(Table1[[#This Row],[Column1]]=4,Table1[[#This Row],[Column3]]=1),11,0)</f>
        <v>0</v>
      </c>
      <c r="AH16" s="57">
        <f>IF(AND(Table1[[#This Row],[Column1]]=4,Table1[[#This Row],[Column3]]=2),12,0)</f>
        <v>0</v>
      </c>
      <c r="AI16" s="57">
        <f>IF(AND(Table1[[#This Row],[Column1]]=4,Table1[[#This Row],[Column3]]=3),13,0)</f>
        <v>0</v>
      </c>
      <c r="AJ16" s="57">
        <f>IF(AND(Table1[[#This Row],[Column1]]=5,Table1[[#This Row],[Column3]]=1),14,0)</f>
        <v>0</v>
      </c>
      <c r="AK16" s="57">
        <f>IF(AND(Table1[[#This Row],[Column1]]=5,Table1[[#This Row],[Column3]]=2),15,0)</f>
        <v>0</v>
      </c>
      <c r="AL16" s="57">
        <f>IF(AND(Table1[[#This Row],[Column1]]=5,Table1[[#This Row],[Column3]]=3),16,0)</f>
        <v>0</v>
      </c>
      <c r="AM16" s="57">
        <f>IF(AND(Table1[[#This Row],[Column1]]=6,Table1[[#This Row],[Column3]]=1),17,0)</f>
        <v>0</v>
      </c>
      <c r="AN16" s="57">
        <f>IF(AND(Table1[[#This Row],[Column1]]=6,Table1[[#This Row],[Column3]]=2),18,0)</f>
        <v>0</v>
      </c>
      <c r="AO16" s="57">
        <f>IF(AND(Table1[[#This Row],[Column1]]=6,Table1[[#This Row],[Column3]]=3),19,0)</f>
        <v>0</v>
      </c>
      <c r="AP16" s="57">
        <f>IF(AND(Table1[[#This Row],[Column1]]=7,Table1[[#This Row],[Column3]]=1),20,0)</f>
        <v>0</v>
      </c>
      <c r="AQ16" s="57">
        <f>IF(AND(Table1[[#This Row],[Column1]]=7,Table1[[#This Row],[Column3]]=2),21,0)</f>
        <v>0</v>
      </c>
      <c r="AR16" s="57">
        <f>IF(AND(Table1[[#This Row],[Column1]]=7,Table1[[#This Row],[Column3]]=3),22,0)</f>
        <v>0</v>
      </c>
      <c r="AS16" s="57">
        <f>IF(AND(Table1[[#This Row],[Column1]]=8,Table1[[#This Row],[Column3]]=1),23,0)</f>
        <v>0</v>
      </c>
      <c r="AT16" s="57">
        <f>IF(AND(Table1[[#This Row],[Column1]]=8,Table1[[#This Row],[Column3]]=2),24,0)</f>
        <v>0</v>
      </c>
      <c r="AU16" s="57">
        <f>IF(AND(Table1[[#This Row],[Column1]]=8,Table1[[#This Row],[Column3]]=3),25,0)</f>
        <v>0</v>
      </c>
      <c r="AV16" s="57">
        <f>SUM(Table1[[#This Row],[Laden LNG]:[Idle HFO]])</f>
        <v>0</v>
      </c>
      <c r="AW16" s="57">
        <f>IF(AND(Table1[[#This Row],[Reliq]]=1,Table1[[#This Row],[Column3]]=1),26,0)</f>
        <v>0</v>
      </c>
      <c r="AX16" s="57">
        <f>IF(AND(Table1[[#This Row],[Reliq]]=1,Table1[[#This Row],[Column3]]=2),27,0)</f>
        <v>0</v>
      </c>
      <c r="AY16" s="57">
        <f>IF(AND(Table1[[#This Row],[Reliq]]=1,Table1[[#This Row],[Column3]]=3),28,0)</f>
        <v>0</v>
      </c>
      <c r="AZ16" s="57">
        <f>SUM(Table1[[#This Row],[Cooling LNG]:[Cooling HFO]])</f>
        <v>0</v>
      </c>
      <c r="BA16" s="57">
        <f t="shared" si="6"/>
        <v>3</v>
      </c>
    </row>
    <row r="17" spans="1:53" ht="20.100000000000001" customHeight="1" x14ac:dyDescent="0.2">
      <c r="A17" s="122">
        <v>13</v>
      </c>
      <c r="B17" s="103" t="str">
        <f t="shared" si="8"/>
        <v/>
      </c>
      <c r="C17" s="104" t="str">
        <f t="shared" si="9"/>
        <v/>
      </c>
      <c r="D17" s="43"/>
      <c r="E17" s="44"/>
      <c r="F17" s="45"/>
      <c r="G17" s="45"/>
      <c r="H17" s="45"/>
      <c r="I17" s="45"/>
      <c r="J17" s="45"/>
      <c r="K17" s="81"/>
      <c r="L17" s="95">
        <f t="shared" si="0"/>
        <v>0</v>
      </c>
      <c r="M17" s="96">
        <f t="shared" si="7"/>
        <v>0</v>
      </c>
      <c r="N17" s="97">
        <f t="shared" si="1"/>
        <v>0</v>
      </c>
      <c r="O17" s="98"/>
      <c r="P17" s="57"/>
      <c r="Q17" s="57">
        <f t="shared" si="2"/>
        <v>3</v>
      </c>
      <c r="R17" s="57"/>
      <c r="S17" s="57">
        <f t="shared" si="3"/>
        <v>1</v>
      </c>
      <c r="T17" s="57"/>
      <c r="U17" s="57">
        <f t="shared" si="4"/>
        <v>3</v>
      </c>
      <c r="V17" s="57"/>
      <c r="W17" s="57">
        <f t="shared" si="5"/>
        <v>4</v>
      </c>
      <c r="X17" s="57">
        <f>IF(AND(Table1[[#This Row],[Column1]]=2,Table1[[#This Row],[Column3]]=1,Table1[[#This Row],[Column2]]=1),2,0)</f>
        <v>0</v>
      </c>
      <c r="Y17" s="57">
        <f>IF(AND(Table1[[#This Row],[Column1]]=2,Table1[[#This Row],[Column3]]=2,Table1[[#This Row],[Column2]]=1),3,0)</f>
        <v>0</v>
      </c>
      <c r="Z17" s="57">
        <f>IF(AND(Table1[[#This Row],[Column1]]=2,Table1[[#This Row],[Column3]]=3,Table1[[#This Row],[Column2]]=1),4,0)</f>
        <v>0</v>
      </c>
      <c r="AA17" s="57">
        <f>IF(AND(Table1[[#This Row],[Column1]]=2,Table1[[#This Row],[Column3]]=1,Table1[[#This Row],[Column2]]=2),5,0)</f>
        <v>0</v>
      </c>
      <c r="AB17" s="57">
        <f>IF(AND(Table1[[#This Row],[Column1]]=2,Table1[[#This Row],[Column3]]=2,Table1[[#This Row],[Column2]]=2),6,0)</f>
        <v>0</v>
      </c>
      <c r="AC17" s="57">
        <f>IF(AND(Table1[[#This Row],[Column1]]=2,Table1[[#This Row],[Column3]]=3,Table1[[#This Row],[Column2]]=2),7,0)</f>
        <v>0</v>
      </c>
      <c r="AD17" s="57">
        <f>IF(AND(Table1[[#This Row],[Column1]]=3,Table1[[#This Row],[Column3]]=1),8,0)</f>
        <v>0</v>
      </c>
      <c r="AE17" s="57">
        <f>IF(AND(Table1[[#This Row],[Column1]]=3,Table1[[#This Row],[Column3]]=2),9,0)</f>
        <v>0</v>
      </c>
      <c r="AF17" s="57">
        <f>IF(AND(Table1[[#This Row],[Column1]]=3,Table1[[#This Row],[Column3]]=3),10,0)</f>
        <v>0</v>
      </c>
      <c r="AG17" s="57">
        <f>IF(AND(Table1[[#This Row],[Column1]]=4,Table1[[#This Row],[Column3]]=1),11,0)</f>
        <v>0</v>
      </c>
      <c r="AH17" s="57">
        <f>IF(AND(Table1[[#This Row],[Column1]]=4,Table1[[#This Row],[Column3]]=2),12,0)</f>
        <v>0</v>
      </c>
      <c r="AI17" s="57">
        <f>IF(AND(Table1[[#This Row],[Column1]]=4,Table1[[#This Row],[Column3]]=3),13,0)</f>
        <v>0</v>
      </c>
      <c r="AJ17" s="57">
        <f>IF(AND(Table1[[#This Row],[Column1]]=5,Table1[[#This Row],[Column3]]=1),14,0)</f>
        <v>0</v>
      </c>
      <c r="AK17" s="57">
        <f>IF(AND(Table1[[#This Row],[Column1]]=5,Table1[[#This Row],[Column3]]=2),15,0)</f>
        <v>0</v>
      </c>
      <c r="AL17" s="57">
        <f>IF(AND(Table1[[#This Row],[Column1]]=5,Table1[[#This Row],[Column3]]=3),16,0)</f>
        <v>0</v>
      </c>
      <c r="AM17" s="57">
        <f>IF(AND(Table1[[#This Row],[Column1]]=6,Table1[[#This Row],[Column3]]=1),17,0)</f>
        <v>0</v>
      </c>
      <c r="AN17" s="57">
        <f>IF(AND(Table1[[#This Row],[Column1]]=6,Table1[[#This Row],[Column3]]=2),18,0)</f>
        <v>0</v>
      </c>
      <c r="AO17" s="57">
        <f>IF(AND(Table1[[#This Row],[Column1]]=6,Table1[[#This Row],[Column3]]=3),19,0)</f>
        <v>0</v>
      </c>
      <c r="AP17" s="57">
        <f>IF(AND(Table1[[#This Row],[Column1]]=7,Table1[[#This Row],[Column3]]=1),20,0)</f>
        <v>0</v>
      </c>
      <c r="AQ17" s="57">
        <f>IF(AND(Table1[[#This Row],[Column1]]=7,Table1[[#This Row],[Column3]]=2),21,0)</f>
        <v>0</v>
      </c>
      <c r="AR17" s="57">
        <f>IF(AND(Table1[[#This Row],[Column1]]=7,Table1[[#This Row],[Column3]]=3),22,0)</f>
        <v>0</v>
      </c>
      <c r="AS17" s="57">
        <f>IF(AND(Table1[[#This Row],[Column1]]=8,Table1[[#This Row],[Column3]]=1),23,0)</f>
        <v>0</v>
      </c>
      <c r="AT17" s="57">
        <f>IF(AND(Table1[[#This Row],[Column1]]=8,Table1[[#This Row],[Column3]]=2),24,0)</f>
        <v>0</v>
      </c>
      <c r="AU17" s="57">
        <f>IF(AND(Table1[[#This Row],[Column1]]=8,Table1[[#This Row],[Column3]]=3),25,0)</f>
        <v>0</v>
      </c>
      <c r="AV17" s="57">
        <f>SUM(Table1[[#This Row],[Laden LNG]:[Idle HFO]])</f>
        <v>0</v>
      </c>
      <c r="AW17" s="57">
        <f>IF(AND(Table1[[#This Row],[Reliq]]=1,Table1[[#This Row],[Column3]]=1),26,0)</f>
        <v>0</v>
      </c>
      <c r="AX17" s="57">
        <f>IF(AND(Table1[[#This Row],[Reliq]]=1,Table1[[#This Row],[Column3]]=2),27,0)</f>
        <v>0</v>
      </c>
      <c r="AY17" s="57">
        <f>IF(AND(Table1[[#This Row],[Reliq]]=1,Table1[[#This Row],[Column3]]=3),28,0)</f>
        <v>0</v>
      </c>
      <c r="AZ17" s="57">
        <f>SUM(Table1[[#This Row],[Cooling LNG]:[Cooling HFO]])</f>
        <v>0</v>
      </c>
      <c r="BA17" s="57">
        <f t="shared" si="6"/>
        <v>3</v>
      </c>
    </row>
    <row r="18" spans="1:53" ht="20.100000000000001" customHeight="1" x14ac:dyDescent="0.2">
      <c r="A18" s="122">
        <v>14</v>
      </c>
      <c r="B18" s="103" t="str">
        <f t="shared" si="8"/>
        <v/>
      </c>
      <c r="C18" s="104" t="str">
        <f t="shared" si="9"/>
        <v/>
      </c>
      <c r="D18" s="43"/>
      <c r="E18" s="44"/>
      <c r="F18" s="45"/>
      <c r="G18" s="45"/>
      <c r="H18" s="45"/>
      <c r="I18" s="45"/>
      <c r="J18" s="45"/>
      <c r="K18" s="81"/>
      <c r="L18" s="95">
        <f t="shared" si="0"/>
        <v>0</v>
      </c>
      <c r="M18" s="96">
        <f t="shared" si="7"/>
        <v>0</v>
      </c>
      <c r="N18" s="97">
        <f t="shared" si="1"/>
        <v>0</v>
      </c>
      <c r="O18" s="98"/>
      <c r="P18" s="57"/>
      <c r="Q18" s="57">
        <f t="shared" si="2"/>
        <v>3</v>
      </c>
      <c r="R18" s="57"/>
      <c r="S18" s="57">
        <f t="shared" si="3"/>
        <v>1</v>
      </c>
      <c r="T18" s="57"/>
      <c r="U18" s="57">
        <f t="shared" si="4"/>
        <v>3</v>
      </c>
      <c r="V18" s="57"/>
      <c r="W18" s="57">
        <f t="shared" si="5"/>
        <v>4</v>
      </c>
      <c r="X18" s="57">
        <f>IF(AND(Table1[[#This Row],[Column1]]=2,Table1[[#This Row],[Column3]]=1,Table1[[#This Row],[Column2]]=1),2,0)</f>
        <v>0</v>
      </c>
      <c r="Y18" s="57">
        <f>IF(AND(Table1[[#This Row],[Column1]]=2,Table1[[#This Row],[Column3]]=2,Table1[[#This Row],[Column2]]=1),3,0)</f>
        <v>0</v>
      </c>
      <c r="Z18" s="57">
        <f>IF(AND(Table1[[#This Row],[Column1]]=2,Table1[[#This Row],[Column3]]=3,Table1[[#This Row],[Column2]]=1),4,0)</f>
        <v>0</v>
      </c>
      <c r="AA18" s="57">
        <f>IF(AND(Table1[[#This Row],[Column1]]=2,Table1[[#This Row],[Column3]]=1,Table1[[#This Row],[Column2]]=2),5,0)</f>
        <v>0</v>
      </c>
      <c r="AB18" s="57">
        <f>IF(AND(Table1[[#This Row],[Column1]]=2,Table1[[#This Row],[Column3]]=2,Table1[[#This Row],[Column2]]=2),6,0)</f>
        <v>0</v>
      </c>
      <c r="AC18" s="57">
        <f>IF(AND(Table1[[#This Row],[Column1]]=2,Table1[[#This Row],[Column3]]=3,Table1[[#This Row],[Column2]]=2),7,0)</f>
        <v>0</v>
      </c>
      <c r="AD18" s="57">
        <f>IF(AND(Table1[[#This Row],[Column1]]=3,Table1[[#This Row],[Column3]]=1),8,0)</f>
        <v>0</v>
      </c>
      <c r="AE18" s="57">
        <f>IF(AND(Table1[[#This Row],[Column1]]=3,Table1[[#This Row],[Column3]]=2),9,0)</f>
        <v>0</v>
      </c>
      <c r="AF18" s="57">
        <f>IF(AND(Table1[[#This Row],[Column1]]=3,Table1[[#This Row],[Column3]]=3),10,0)</f>
        <v>0</v>
      </c>
      <c r="AG18" s="57">
        <f>IF(AND(Table1[[#This Row],[Column1]]=4,Table1[[#This Row],[Column3]]=1),11,0)</f>
        <v>0</v>
      </c>
      <c r="AH18" s="57">
        <f>IF(AND(Table1[[#This Row],[Column1]]=4,Table1[[#This Row],[Column3]]=2),12,0)</f>
        <v>0</v>
      </c>
      <c r="AI18" s="57">
        <f>IF(AND(Table1[[#This Row],[Column1]]=4,Table1[[#This Row],[Column3]]=3),13,0)</f>
        <v>0</v>
      </c>
      <c r="AJ18" s="57">
        <f>IF(AND(Table1[[#This Row],[Column1]]=5,Table1[[#This Row],[Column3]]=1),14,0)</f>
        <v>0</v>
      </c>
      <c r="AK18" s="57">
        <f>IF(AND(Table1[[#This Row],[Column1]]=5,Table1[[#This Row],[Column3]]=2),15,0)</f>
        <v>0</v>
      </c>
      <c r="AL18" s="57">
        <f>IF(AND(Table1[[#This Row],[Column1]]=5,Table1[[#This Row],[Column3]]=3),16,0)</f>
        <v>0</v>
      </c>
      <c r="AM18" s="57">
        <f>IF(AND(Table1[[#This Row],[Column1]]=6,Table1[[#This Row],[Column3]]=1),17,0)</f>
        <v>0</v>
      </c>
      <c r="AN18" s="57">
        <f>IF(AND(Table1[[#This Row],[Column1]]=6,Table1[[#This Row],[Column3]]=2),18,0)</f>
        <v>0</v>
      </c>
      <c r="AO18" s="57">
        <f>IF(AND(Table1[[#This Row],[Column1]]=6,Table1[[#This Row],[Column3]]=3),19,0)</f>
        <v>0</v>
      </c>
      <c r="AP18" s="57">
        <f>IF(AND(Table1[[#This Row],[Column1]]=7,Table1[[#This Row],[Column3]]=1),20,0)</f>
        <v>0</v>
      </c>
      <c r="AQ18" s="57">
        <f>IF(AND(Table1[[#This Row],[Column1]]=7,Table1[[#This Row],[Column3]]=2),21,0)</f>
        <v>0</v>
      </c>
      <c r="AR18" s="57">
        <f>IF(AND(Table1[[#This Row],[Column1]]=7,Table1[[#This Row],[Column3]]=3),22,0)</f>
        <v>0</v>
      </c>
      <c r="AS18" s="57">
        <f>IF(AND(Table1[[#This Row],[Column1]]=8,Table1[[#This Row],[Column3]]=1),23,0)</f>
        <v>0</v>
      </c>
      <c r="AT18" s="57">
        <f>IF(AND(Table1[[#This Row],[Column1]]=8,Table1[[#This Row],[Column3]]=2),24,0)</f>
        <v>0</v>
      </c>
      <c r="AU18" s="57">
        <f>IF(AND(Table1[[#This Row],[Column1]]=8,Table1[[#This Row],[Column3]]=3),25,0)</f>
        <v>0</v>
      </c>
      <c r="AV18" s="57">
        <f>SUM(Table1[[#This Row],[Laden LNG]:[Idle HFO]])</f>
        <v>0</v>
      </c>
      <c r="AW18" s="57">
        <f>IF(AND(Table1[[#This Row],[Reliq]]=1,Table1[[#This Row],[Column3]]=1),26,0)</f>
        <v>0</v>
      </c>
      <c r="AX18" s="57">
        <f>IF(AND(Table1[[#This Row],[Reliq]]=1,Table1[[#This Row],[Column3]]=2),27,0)</f>
        <v>0</v>
      </c>
      <c r="AY18" s="57">
        <f>IF(AND(Table1[[#This Row],[Reliq]]=1,Table1[[#This Row],[Column3]]=3),28,0)</f>
        <v>0</v>
      </c>
      <c r="AZ18" s="57">
        <f>SUM(Table1[[#This Row],[Cooling LNG]:[Cooling HFO]])</f>
        <v>0</v>
      </c>
      <c r="BA18" s="57">
        <f t="shared" si="6"/>
        <v>3</v>
      </c>
    </row>
    <row r="19" spans="1:53" ht="20.100000000000001" customHeight="1" x14ac:dyDescent="0.2">
      <c r="A19" s="122">
        <v>15</v>
      </c>
      <c r="B19" s="103" t="str">
        <f t="shared" si="8"/>
        <v/>
      </c>
      <c r="C19" s="104" t="str">
        <f t="shared" si="9"/>
        <v/>
      </c>
      <c r="D19" s="43"/>
      <c r="E19" s="44"/>
      <c r="F19" s="45"/>
      <c r="G19" s="45"/>
      <c r="H19" s="45"/>
      <c r="I19" s="45"/>
      <c r="J19" s="45"/>
      <c r="K19" s="81"/>
      <c r="L19" s="95">
        <f t="shared" si="0"/>
        <v>0</v>
      </c>
      <c r="M19" s="96">
        <f t="shared" si="7"/>
        <v>0</v>
      </c>
      <c r="N19" s="94">
        <f t="shared" si="1"/>
        <v>0</v>
      </c>
      <c r="O19" s="91"/>
      <c r="P19" s="57"/>
      <c r="Q19" s="57">
        <f t="shared" si="2"/>
        <v>3</v>
      </c>
      <c r="R19" s="57"/>
      <c r="S19" s="57">
        <f t="shared" si="3"/>
        <v>1</v>
      </c>
      <c r="T19" s="57"/>
      <c r="U19" s="57">
        <f t="shared" si="4"/>
        <v>3</v>
      </c>
      <c r="V19" s="57"/>
      <c r="W19" s="57">
        <f t="shared" si="5"/>
        <v>4</v>
      </c>
      <c r="X19" s="57">
        <f>IF(AND(Table1[[#This Row],[Column1]]=2,Table1[[#This Row],[Column3]]=1,Table1[[#This Row],[Column2]]=1),2,0)</f>
        <v>0</v>
      </c>
      <c r="Y19" s="57">
        <f>IF(AND(Table1[[#This Row],[Column1]]=2,Table1[[#This Row],[Column3]]=2,Table1[[#This Row],[Column2]]=1),3,0)</f>
        <v>0</v>
      </c>
      <c r="Z19" s="57">
        <f>IF(AND(Table1[[#This Row],[Column1]]=2,Table1[[#This Row],[Column3]]=3,Table1[[#This Row],[Column2]]=1),4,0)</f>
        <v>0</v>
      </c>
      <c r="AA19" s="57">
        <f>IF(AND(Table1[[#This Row],[Column1]]=2,Table1[[#This Row],[Column3]]=1,Table1[[#This Row],[Column2]]=2),5,0)</f>
        <v>0</v>
      </c>
      <c r="AB19" s="57">
        <f>IF(AND(Table1[[#This Row],[Column1]]=2,Table1[[#This Row],[Column3]]=2,Table1[[#This Row],[Column2]]=2),6,0)</f>
        <v>0</v>
      </c>
      <c r="AC19" s="57">
        <f>IF(AND(Table1[[#This Row],[Column1]]=2,Table1[[#This Row],[Column3]]=3,Table1[[#This Row],[Column2]]=2),7,0)</f>
        <v>0</v>
      </c>
      <c r="AD19" s="57">
        <f>IF(AND(Table1[[#This Row],[Column1]]=3,Table1[[#This Row],[Column3]]=1),8,0)</f>
        <v>0</v>
      </c>
      <c r="AE19" s="57">
        <f>IF(AND(Table1[[#This Row],[Column1]]=3,Table1[[#This Row],[Column3]]=2),9,0)</f>
        <v>0</v>
      </c>
      <c r="AF19" s="57">
        <f>IF(AND(Table1[[#This Row],[Column1]]=3,Table1[[#This Row],[Column3]]=3),10,0)</f>
        <v>0</v>
      </c>
      <c r="AG19" s="57">
        <f>IF(AND(Table1[[#This Row],[Column1]]=4,Table1[[#This Row],[Column3]]=1),11,0)</f>
        <v>0</v>
      </c>
      <c r="AH19" s="57">
        <f>IF(AND(Table1[[#This Row],[Column1]]=4,Table1[[#This Row],[Column3]]=2),12,0)</f>
        <v>0</v>
      </c>
      <c r="AI19" s="57">
        <f>IF(AND(Table1[[#This Row],[Column1]]=4,Table1[[#This Row],[Column3]]=3),13,0)</f>
        <v>0</v>
      </c>
      <c r="AJ19" s="57">
        <f>IF(AND(Table1[[#This Row],[Column1]]=5,Table1[[#This Row],[Column3]]=1),14,0)</f>
        <v>0</v>
      </c>
      <c r="AK19" s="57">
        <f>IF(AND(Table1[[#This Row],[Column1]]=5,Table1[[#This Row],[Column3]]=2),15,0)</f>
        <v>0</v>
      </c>
      <c r="AL19" s="57">
        <f>IF(AND(Table1[[#This Row],[Column1]]=5,Table1[[#This Row],[Column3]]=3),16,0)</f>
        <v>0</v>
      </c>
      <c r="AM19" s="57">
        <f>IF(AND(Table1[[#This Row],[Column1]]=6,Table1[[#This Row],[Column3]]=1),17,0)</f>
        <v>0</v>
      </c>
      <c r="AN19" s="57">
        <f>IF(AND(Table1[[#This Row],[Column1]]=6,Table1[[#This Row],[Column3]]=2),18,0)</f>
        <v>0</v>
      </c>
      <c r="AO19" s="57">
        <f>IF(AND(Table1[[#This Row],[Column1]]=6,Table1[[#This Row],[Column3]]=3),19,0)</f>
        <v>0</v>
      </c>
      <c r="AP19" s="57">
        <f>IF(AND(Table1[[#This Row],[Column1]]=7,Table1[[#This Row],[Column3]]=1),20,0)</f>
        <v>0</v>
      </c>
      <c r="AQ19" s="57">
        <f>IF(AND(Table1[[#This Row],[Column1]]=7,Table1[[#This Row],[Column3]]=2),21,0)</f>
        <v>0</v>
      </c>
      <c r="AR19" s="57">
        <f>IF(AND(Table1[[#This Row],[Column1]]=7,Table1[[#This Row],[Column3]]=3),22,0)</f>
        <v>0</v>
      </c>
      <c r="AS19" s="57">
        <f>IF(AND(Table1[[#This Row],[Column1]]=8,Table1[[#This Row],[Column3]]=1),23,0)</f>
        <v>0</v>
      </c>
      <c r="AT19" s="57">
        <f>IF(AND(Table1[[#This Row],[Column1]]=8,Table1[[#This Row],[Column3]]=2),24,0)</f>
        <v>0</v>
      </c>
      <c r="AU19" s="57">
        <f>IF(AND(Table1[[#This Row],[Column1]]=8,Table1[[#This Row],[Column3]]=3),25,0)</f>
        <v>0</v>
      </c>
      <c r="AV19" s="57">
        <f>SUM(Table1[[#This Row],[Laden LNG]:[Idle HFO]])</f>
        <v>0</v>
      </c>
      <c r="AW19" s="57">
        <f>IF(AND(Table1[[#This Row],[Reliq]]=1,Table1[[#This Row],[Column3]]=1),26,0)</f>
        <v>0</v>
      </c>
      <c r="AX19" s="57">
        <f>IF(AND(Table1[[#This Row],[Reliq]]=1,Table1[[#This Row],[Column3]]=2),27,0)</f>
        <v>0</v>
      </c>
      <c r="AY19" s="57">
        <f>IF(AND(Table1[[#This Row],[Reliq]]=1,Table1[[#This Row],[Column3]]=3),28,0)</f>
        <v>0</v>
      </c>
      <c r="AZ19" s="57">
        <f>SUM(Table1[[#This Row],[Cooling LNG]:[Cooling HFO]])</f>
        <v>0</v>
      </c>
      <c r="BA19" s="57">
        <f t="shared" si="6"/>
        <v>3</v>
      </c>
    </row>
    <row r="20" spans="1:53" ht="20.100000000000001" customHeight="1" x14ac:dyDescent="0.2">
      <c r="A20" s="122">
        <v>16</v>
      </c>
      <c r="B20" s="103" t="str">
        <f t="shared" si="8"/>
        <v/>
      </c>
      <c r="C20" s="104" t="str">
        <f t="shared" si="9"/>
        <v/>
      </c>
      <c r="D20" s="43"/>
      <c r="E20" s="44"/>
      <c r="F20" s="45"/>
      <c r="G20" s="45"/>
      <c r="H20" s="45"/>
      <c r="I20" s="45"/>
      <c r="J20" s="45"/>
      <c r="K20" s="81"/>
      <c r="L20" s="95">
        <f t="shared" si="0"/>
        <v>0</v>
      </c>
      <c r="M20" s="96">
        <f t="shared" si="7"/>
        <v>0</v>
      </c>
      <c r="N20" s="94">
        <f t="shared" si="1"/>
        <v>0</v>
      </c>
      <c r="O20" s="91"/>
      <c r="P20" s="57"/>
      <c r="Q20" s="57">
        <f t="shared" si="2"/>
        <v>3</v>
      </c>
      <c r="R20" s="57"/>
      <c r="S20" s="57">
        <f t="shared" si="3"/>
        <v>1</v>
      </c>
      <c r="T20" s="57"/>
      <c r="U20" s="57">
        <f t="shared" si="4"/>
        <v>3</v>
      </c>
      <c r="V20" s="57"/>
      <c r="W20" s="57">
        <f t="shared" si="5"/>
        <v>4</v>
      </c>
      <c r="X20" s="57">
        <f>IF(AND(Table1[[#This Row],[Column1]]=2,Table1[[#This Row],[Column3]]=1,Table1[[#This Row],[Column2]]=1),2,0)</f>
        <v>0</v>
      </c>
      <c r="Y20" s="57">
        <f>IF(AND(Table1[[#This Row],[Column1]]=2,Table1[[#This Row],[Column3]]=2,Table1[[#This Row],[Column2]]=1),3,0)</f>
        <v>0</v>
      </c>
      <c r="Z20" s="57">
        <f>IF(AND(Table1[[#This Row],[Column1]]=2,Table1[[#This Row],[Column3]]=3,Table1[[#This Row],[Column2]]=1),4,0)</f>
        <v>0</v>
      </c>
      <c r="AA20" s="57">
        <f>IF(AND(Table1[[#This Row],[Column1]]=2,Table1[[#This Row],[Column3]]=1,Table1[[#This Row],[Column2]]=2),5,0)</f>
        <v>0</v>
      </c>
      <c r="AB20" s="57">
        <f>IF(AND(Table1[[#This Row],[Column1]]=2,Table1[[#This Row],[Column3]]=2,Table1[[#This Row],[Column2]]=2),6,0)</f>
        <v>0</v>
      </c>
      <c r="AC20" s="57">
        <f>IF(AND(Table1[[#This Row],[Column1]]=2,Table1[[#This Row],[Column3]]=3,Table1[[#This Row],[Column2]]=2),7,0)</f>
        <v>0</v>
      </c>
      <c r="AD20" s="57">
        <f>IF(AND(Table1[[#This Row],[Column1]]=3,Table1[[#This Row],[Column3]]=1),8,0)</f>
        <v>0</v>
      </c>
      <c r="AE20" s="57">
        <f>IF(AND(Table1[[#This Row],[Column1]]=3,Table1[[#This Row],[Column3]]=2),9,0)</f>
        <v>0</v>
      </c>
      <c r="AF20" s="57">
        <f>IF(AND(Table1[[#This Row],[Column1]]=3,Table1[[#This Row],[Column3]]=3),10,0)</f>
        <v>0</v>
      </c>
      <c r="AG20" s="57">
        <f>IF(AND(Table1[[#This Row],[Column1]]=4,Table1[[#This Row],[Column3]]=1),11,0)</f>
        <v>0</v>
      </c>
      <c r="AH20" s="57">
        <f>IF(AND(Table1[[#This Row],[Column1]]=4,Table1[[#This Row],[Column3]]=2),12,0)</f>
        <v>0</v>
      </c>
      <c r="AI20" s="57">
        <f>IF(AND(Table1[[#This Row],[Column1]]=4,Table1[[#This Row],[Column3]]=3),13,0)</f>
        <v>0</v>
      </c>
      <c r="AJ20" s="57">
        <f>IF(AND(Table1[[#This Row],[Column1]]=5,Table1[[#This Row],[Column3]]=1),14,0)</f>
        <v>0</v>
      </c>
      <c r="AK20" s="57">
        <f>IF(AND(Table1[[#This Row],[Column1]]=5,Table1[[#This Row],[Column3]]=2),15,0)</f>
        <v>0</v>
      </c>
      <c r="AL20" s="57">
        <f>IF(AND(Table1[[#This Row],[Column1]]=5,Table1[[#This Row],[Column3]]=3),16,0)</f>
        <v>0</v>
      </c>
      <c r="AM20" s="57">
        <f>IF(AND(Table1[[#This Row],[Column1]]=6,Table1[[#This Row],[Column3]]=1),17,0)</f>
        <v>0</v>
      </c>
      <c r="AN20" s="57">
        <f>IF(AND(Table1[[#This Row],[Column1]]=6,Table1[[#This Row],[Column3]]=2),18,0)</f>
        <v>0</v>
      </c>
      <c r="AO20" s="57">
        <f>IF(AND(Table1[[#This Row],[Column1]]=6,Table1[[#This Row],[Column3]]=3),19,0)</f>
        <v>0</v>
      </c>
      <c r="AP20" s="57">
        <f>IF(AND(Table1[[#This Row],[Column1]]=7,Table1[[#This Row],[Column3]]=1),20,0)</f>
        <v>0</v>
      </c>
      <c r="AQ20" s="57">
        <f>IF(AND(Table1[[#This Row],[Column1]]=7,Table1[[#This Row],[Column3]]=2),21,0)</f>
        <v>0</v>
      </c>
      <c r="AR20" s="57">
        <f>IF(AND(Table1[[#This Row],[Column1]]=7,Table1[[#This Row],[Column3]]=3),22,0)</f>
        <v>0</v>
      </c>
      <c r="AS20" s="57">
        <f>IF(AND(Table1[[#This Row],[Column1]]=8,Table1[[#This Row],[Column3]]=1),23,0)</f>
        <v>0</v>
      </c>
      <c r="AT20" s="57">
        <f>IF(AND(Table1[[#This Row],[Column1]]=8,Table1[[#This Row],[Column3]]=2),24,0)</f>
        <v>0</v>
      </c>
      <c r="AU20" s="57">
        <f>IF(AND(Table1[[#This Row],[Column1]]=8,Table1[[#This Row],[Column3]]=3),25,0)</f>
        <v>0</v>
      </c>
      <c r="AV20" s="57">
        <f>SUM(Table1[[#This Row],[Laden LNG]:[Idle HFO]])</f>
        <v>0</v>
      </c>
      <c r="AW20" s="57">
        <f>IF(AND(Table1[[#This Row],[Reliq]]=1,Table1[[#This Row],[Column3]]=1),26,0)</f>
        <v>0</v>
      </c>
      <c r="AX20" s="57">
        <f>IF(AND(Table1[[#This Row],[Reliq]]=1,Table1[[#This Row],[Column3]]=2),27,0)</f>
        <v>0</v>
      </c>
      <c r="AY20" s="57">
        <f>IF(AND(Table1[[#This Row],[Reliq]]=1,Table1[[#This Row],[Column3]]=3),28,0)</f>
        <v>0</v>
      </c>
      <c r="AZ20" s="57">
        <f>SUM(Table1[[#This Row],[Cooling LNG]:[Cooling HFO]])</f>
        <v>0</v>
      </c>
      <c r="BA20" s="57">
        <f t="shared" si="6"/>
        <v>3</v>
      </c>
    </row>
    <row r="21" spans="1:53" s="8" customFormat="1" ht="20.100000000000001" customHeight="1" x14ac:dyDescent="0.2">
      <c r="A21" s="122">
        <v>17</v>
      </c>
      <c r="B21" s="103" t="str">
        <f t="shared" si="8"/>
        <v/>
      </c>
      <c r="C21" s="104" t="str">
        <f t="shared" si="9"/>
        <v/>
      </c>
      <c r="D21" s="43"/>
      <c r="E21" s="44"/>
      <c r="F21" s="45"/>
      <c r="G21" s="45"/>
      <c r="H21" s="45"/>
      <c r="I21" s="45"/>
      <c r="J21" s="45"/>
      <c r="K21" s="81"/>
      <c r="L21" s="95">
        <f t="shared" si="0"/>
        <v>0</v>
      </c>
      <c r="M21" s="96">
        <f t="shared" si="7"/>
        <v>0</v>
      </c>
      <c r="N21" s="94">
        <f t="shared" si="1"/>
        <v>0</v>
      </c>
      <c r="O21" s="91"/>
      <c r="P21" s="57"/>
      <c r="Q21" s="57">
        <f t="shared" si="2"/>
        <v>3</v>
      </c>
      <c r="R21" s="57"/>
      <c r="S21" s="57">
        <f t="shared" si="3"/>
        <v>1</v>
      </c>
      <c r="T21" s="57"/>
      <c r="U21" s="57">
        <f t="shared" si="4"/>
        <v>3</v>
      </c>
      <c r="V21" s="57"/>
      <c r="W21" s="57">
        <f t="shared" si="5"/>
        <v>4</v>
      </c>
      <c r="X21" s="57">
        <f>IF(AND(Table1[[#This Row],[Column1]]=2,Table1[[#This Row],[Column3]]=1,Table1[[#This Row],[Column2]]=1),2,0)</f>
        <v>0</v>
      </c>
      <c r="Y21" s="57">
        <f>IF(AND(Table1[[#This Row],[Column1]]=2,Table1[[#This Row],[Column3]]=2,Table1[[#This Row],[Column2]]=1),3,0)</f>
        <v>0</v>
      </c>
      <c r="Z21" s="57">
        <f>IF(AND(Table1[[#This Row],[Column1]]=2,Table1[[#This Row],[Column3]]=3,Table1[[#This Row],[Column2]]=1),4,0)</f>
        <v>0</v>
      </c>
      <c r="AA21" s="57">
        <f>IF(AND(Table1[[#This Row],[Column1]]=2,Table1[[#This Row],[Column3]]=1,Table1[[#This Row],[Column2]]=2),5,0)</f>
        <v>0</v>
      </c>
      <c r="AB21" s="57">
        <f>IF(AND(Table1[[#This Row],[Column1]]=2,Table1[[#This Row],[Column3]]=2,Table1[[#This Row],[Column2]]=2),6,0)</f>
        <v>0</v>
      </c>
      <c r="AC21" s="57">
        <f>IF(AND(Table1[[#This Row],[Column1]]=2,Table1[[#This Row],[Column3]]=3,Table1[[#This Row],[Column2]]=2),7,0)</f>
        <v>0</v>
      </c>
      <c r="AD21" s="57">
        <f>IF(AND(Table1[[#This Row],[Column1]]=3,Table1[[#This Row],[Column3]]=1),8,0)</f>
        <v>0</v>
      </c>
      <c r="AE21" s="57">
        <f>IF(AND(Table1[[#This Row],[Column1]]=3,Table1[[#This Row],[Column3]]=2),9,0)</f>
        <v>0</v>
      </c>
      <c r="AF21" s="57">
        <f>IF(AND(Table1[[#This Row],[Column1]]=3,Table1[[#This Row],[Column3]]=3),10,0)</f>
        <v>0</v>
      </c>
      <c r="AG21" s="57">
        <f>IF(AND(Table1[[#This Row],[Column1]]=4,Table1[[#This Row],[Column3]]=1),11,0)</f>
        <v>0</v>
      </c>
      <c r="AH21" s="57">
        <f>IF(AND(Table1[[#This Row],[Column1]]=4,Table1[[#This Row],[Column3]]=2),12,0)</f>
        <v>0</v>
      </c>
      <c r="AI21" s="57">
        <f>IF(AND(Table1[[#This Row],[Column1]]=4,Table1[[#This Row],[Column3]]=3),13,0)</f>
        <v>0</v>
      </c>
      <c r="AJ21" s="57">
        <f>IF(AND(Table1[[#This Row],[Column1]]=5,Table1[[#This Row],[Column3]]=1),14,0)</f>
        <v>0</v>
      </c>
      <c r="AK21" s="57">
        <f>IF(AND(Table1[[#This Row],[Column1]]=5,Table1[[#This Row],[Column3]]=2),15,0)</f>
        <v>0</v>
      </c>
      <c r="AL21" s="57">
        <f>IF(AND(Table1[[#This Row],[Column1]]=5,Table1[[#This Row],[Column3]]=3),16,0)</f>
        <v>0</v>
      </c>
      <c r="AM21" s="57">
        <f>IF(AND(Table1[[#This Row],[Column1]]=6,Table1[[#This Row],[Column3]]=1),17,0)</f>
        <v>0</v>
      </c>
      <c r="AN21" s="57">
        <f>IF(AND(Table1[[#This Row],[Column1]]=6,Table1[[#This Row],[Column3]]=2),18,0)</f>
        <v>0</v>
      </c>
      <c r="AO21" s="57">
        <f>IF(AND(Table1[[#This Row],[Column1]]=6,Table1[[#This Row],[Column3]]=3),19,0)</f>
        <v>0</v>
      </c>
      <c r="AP21" s="57">
        <f>IF(AND(Table1[[#This Row],[Column1]]=7,Table1[[#This Row],[Column3]]=1),20,0)</f>
        <v>0</v>
      </c>
      <c r="AQ21" s="57">
        <f>IF(AND(Table1[[#This Row],[Column1]]=7,Table1[[#This Row],[Column3]]=2),21,0)</f>
        <v>0</v>
      </c>
      <c r="AR21" s="57">
        <f>IF(AND(Table1[[#This Row],[Column1]]=7,Table1[[#This Row],[Column3]]=3),22,0)</f>
        <v>0</v>
      </c>
      <c r="AS21" s="57">
        <f>IF(AND(Table1[[#This Row],[Column1]]=8,Table1[[#This Row],[Column3]]=1),23,0)</f>
        <v>0</v>
      </c>
      <c r="AT21" s="57">
        <f>IF(AND(Table1[[#This Row],[Column1]]=8,Table1[[#This Row],[Column3]]=2),24,0)</f>
        <v>0</v>
      </c>
      <c r="AU21" s="57">
        <f>IF(AND(Table1[[#This Row],[Column1]]=8,Table1[[#This Row],[Column3]]=3),25,0)</f>
        <v>0</v>
      </c>
      <c r="AV21" s="57">
        <f>SUM(Table1[[#This Row],[Laden LNG]:[Idle HFO]])</f>
        <v>0</v>
      </c>
      <c r="AW21" s="57">
        <f>IF(AND(Table1[[#This Row],[Reliq]]=1,Table1[[#This Row],[Column3]]=1),26,0)</f>
        <v>0</v>
      </c>
      <c r="AX21" s="57">
        <f>IF(AND(Table1[[#This Row],[Reliq]]=1,Table1[[#This Row],[Column3]]=2),27,0)</f>
        <v>0</v>
      </c>
      <c r="AY21" s="57">
        <f>IF(AND(Table1[[#This Row],[Reliq]]=1,Table1[[#This Row],[Column3]]=3),28,0)</f>
        <v>0</v>
      </c>
      <c r="AZ21" s="57">
        <f>SUM(Table1[[#This Row],[Cooling LNG]:[Cooling HFO]])</f>
        <v>0</v>
      </c>
      <c r="BA21" s="57">
        <f t="shared" si="6"/>
        <v>3</v>
      </c>
    </row>
    <row r="22" spans="1:53" ht="20.100000000000001" customHeight="1" x14ac:dyDescent="0.2">
      <c r="A22" s="122">
        <v>18</v>
      </c>
      <c r="B22" s="103" t="str">
        <f t="shared" si="8"/>
        <v/>
      </c>
      <c r="C22" s="104" t="str">
        <f t="shared" si="9"/>
        <v/>
      </c>
      <c r="D22" s="43"/>
      <c r="E22" s="44"/>
      <c r="F22" s="45"/>
      <c r="G22" s="45"/>
      <c r="H22" s="45"/>
      <c r="I22" s="45"/>
      <c r="J22" s="45"/>
      <c r="K22" s="81"/>
      <c r="L22" s="95">
        <f t="shared" si="0"/>
        <v>0</v>
      </c>
      <c r="M22" s="96">
        <f t="shared" si="7"/>
        <v>0</v>
      </c>
      <c r="N22" s="94">
        <f t="shared" si="1"/>
        <v>0</v>
      </c>
      <c r="O22" s="91"/>
      <c r="P22" s="57"/>
      <c r="Q22" s="57">
        <f t="shared" si="2"/>
        <v>3</v>
      </c>
      <c r="R22" s="57"/>
      <c r="S22" s="57">
        <f t="shared" si="3"/>
        <v>1</v>
      </c>
      <c r="T22" s="57"/>
      <c r="U22" s="57">
        <f t="shared" si="4"/>
        <v>3</v>
      </c>
      <c r="V22" s="57"/>
      <c r="W22" s="57">
        <f t="shared" si="5"/>
        <v>4</v>
      </c>
      <c r="X22" s="57">
        <f>IF(AND(Table1[[#This Row],[Column1]]=2,Table1[[#This Row],[Column3]]=1,Table1[[#This Row],[Column2]]=1),2,0)</f>
        <v>0</v>
      </c>
      <c r="Y22" s="57">
        <f>IF(AND(Table1[[#This Row],[Column1]]=2,Table1[[#This Row],[Column3]]=2,Table1[[#This Row],[Column2]]=1),3,0)</f>
        <v>0</v>
      </c>
      <c r="Z22" s="57">
        <f>IF(AND(Table1[[#This Row],[Column1]]=2,Table1[[#This Row],[Column3]]=3,Table1[[#This Row],[Column2]]=1),4,0)</f>
        <v>0</v>
      </c>
      <c r="AA22" s="57">
        <f>IF(AND(Table1[[#This Row],[Column1]]=2,Table1[[#This Row],[Column3]]=1,Table1[[#This Row],[Column2]]=2),5,0)</f>
        <v>0</v>
      </c>
      <c r="AB22" s="57">
        <f>IF(AND(Table1[[#This Row],[Column1]]=2,Table1[[#This Row],[Column3]]=2,Table1[[#This Row],[Column2]]=2),6,0)</f>
        <v>0</v>
      </c>
      <c r="AC22" s="57">
        <f>IF(AND(Table1[[#This Row],[Column1]]=2,Table1[[#This Row],[Column3]]=3,Table1[[#This Row],[Column2]]=2),7,0)</f>
        <v>0</v>
      </c>
      <c r="AD22" s="57">
        <f>IF(AND(Table1[[#This Row],[Column1]]=3,Table1[[#This Row],[Column3]]=1),8,0)</f>
        <v>0</v>
      </c>
      <c r="AE22" s="57">
        <f>IF(AND(Table1[[#This Row],[Column1]]=3,Table1[[#This Row],[Column3]]=2),9,0)</f>
        <v>0</v>
      </c>
      <c r="AF22" s="57">
        <f>IF(AND(Table1[[#This Row],[Column1]]=3,Table1[[#This Row],[Column3]]=3),10,0)</f>
        <v>0</v>
      </c>
      <c r="AG22" s="57">
        <f>IF(AND(Table1[[#This Row],[Column1]]=4,Table1[[#This Row],[Column3]]=1),11,0)</f>
        <v>0</v>
      </c>
      <c r="AH22" s="57">
        <f>IF(AND(Table1[[#This Row],[Column1]]=4,Table1[[#This Row],[Column3]]=2),12,0)</f>
        <v>0</v>
      </c>
      <c r="AI22" s="57">
        <f>IF(AND(Table1[[#This Row],[Column1]]=4,Table1[[#This Row],[Column3]]=3),13,0)</f>
        <v>0</v>
      </c>
      <c r="AJ22" s="57">
        <f>IF(AND(Table1[[#This Row],[Column1]]=5,Table1[[#This Row],[Column3]]=1),14,0)</f>
        <v>0</v>
      </c>
      <c r="AK22" s="57">
        <f>IF(AND(Table1[[#This Row],[Column1]]=5,Table1[[#This Row],[Column3]]=2),15,0)</f>
        <v>0</v>
      </c>
      <c r="AL22" s="57">
        <f>IF(AND(Table1[[#This Row],[Column1]]=5,Table1[[#This Row],[Column3]]=3),16,0)</f>
        <v>0</v>
      </c>
      <c r="AM22" s="57">
        <f>IF(AND(Table1[[#This Row],[Column1]]=6,Table1[[#This Row],[Column3]]=1),17,0)</f>
        <v>0</v>
      </c>
      <c r="AN22" s="57">
        <f>IF(AND(Table1[[#This Row],[Column1]]=6,Table1[[#This Row],[Column3]]=2),18,0)</f>
        <v>0</v>
      </c>
      <c r="AO22" s="57">
        <f>IF(AND(Table1[[#This Row],[Column1]]=6,Table1[[#This Row],[Column3]]=3),19,0)</f>
        <v>0</v>
      </c>
      <c r="AP22" s="57">
        <f>IF(AND(Table1[[#This Row],[Column1]]=7,Table1[[#This Row],[Column3]]=1),20,0)</f>
        <v>0</v>
      </c>
      <c r="AQ22" s="57">
        <f>IF(AND(Table1[[#This Row],[Column1]]=7,Table1[[#This Row],[Column3]]=2),21,0)</f>
        <v>0</v>
      </c>
      <c r="AR22" s="57">
        <f>IF(AND(Table1[[#This Row],[Column1]]=7,Table1[[#This Row],[Column3]]=3),22,0)</f>
        <v>0</v>
      </c>
      <c r="AS22" s="57">
        <f>IF(AND(Table1[[#This Row],[Column1]]=8,Table1[[#This Row],[Column3]]=1),23,0)</f>
        <v>0</v>
      </c>
      <c r="AT22" s="57">
        <f>IF(AND(Table1[[#This Row],[Column1]]=8,Table1[[#This Row],[Column3]]=2),24,0)</f>
        <v>0</v>
      </c>
      <c r="AU22" s="57">
        <f>IF(AND(Table1[[#This Row],[Column1]]=8,Table1[[#This Row],[Column3]]=3),25,0)</f>
        <v>0</v>
      </c>
      <c r="AV22" s="57">
        <f>SUM(Table1[[#This Row],[Laden LNG]:[Idle HFO]])</f>
        <v>0</v>
      </c>
      <c r="AW22" s="57">
        <f>IF(AND(Table1[[#This Row],[Reliq]]=1,Table1[[#This Row],[Column3]]=1),26,0)</f>
        <v>0</v>
      </c>
      <c r="AX22" s="57">
        <f>IF(AND(Table1[[#This Row],[Reliq]]=1,Table1[[#This Row],[Column3]]=2),27,0)</f>
        <v>0</v>
      </c>
      <c r="AY22" s="57">
        <f>IF(AND(Table1[[#This Row],[Reliq]]=1,Table1[[#This Row],[Column3]]=3),28,0)</f>
        <v>0</v>
      </c>
      <c r="AZ22" s="57">
        <f>SUM(Table1[[#This Row],[Cooling LNG]:[Cooling HFO]])</f>
        <v>0</v>
      </c>
      <c r="BA22" s="57">
        <f t="shared" si="6"/>
        <v>3</v>
      </c>
    </row>
    <row r="23" spans="1:53" ht="20.100000000000001" customHeight="1" x14ac:dyDescent="0.2">
      <c r="A23" s="122">
        <v>19</v>
      </c>
      <c r="B23" s="103" t="str">
        <f t="shared" si="8"/>
        <v/>
      </c>
      <c r="C23" s="104" t="str">
        <f t="shared" si="9"/>
        <v/>
      </c>
      <c r="D23" s="43"/>
      <c r="E23" s="44"/>
      <c r="F23" s="45"/>
      <c r="G23" s="45"/>
      <c r="H23" s="45"/>
      <c r="I23" s="45"/>
      <c r="J23" s="45"/>
      <c r="K23" s="81"/>
      <c r="L23" s="95">
        <f t="shared" si="0"/>
        <v>0</v>
      </c>
      <c r="M23" s="96">
        <f t="shared" si="7"/>
        <v>0</v>
      </c>
      <c r="N23" s="94">
        <f t="shared" si="1"/>
        <v>0</v>
      </c>
      <c r="O23" s="91"/>
      <c r="P23" s="57"/>
      <c r="Q23" s="57">
        <f t="shared" si="2"/>
        <v>3</v>
      </c>
      <c r="R23" s="57"/>
      <c r="S23" s="57">
        <f t="shared" si="3"/>
        <v>1</v>
      </c>
      <c r="T23" s="57"/>
      <c r="U23" s="57">
        <f t="shared" si="4"/>
        <v>3</v>
      </c>
      <c r="V23" s="57"/>
      <c r="W23" s="57">
        <f t="shared" si="5"/>
        <v>4</v>
      </c>
      <c r="X23" s="57">
        <f>IF(AND(Table1[[#This Row],[Column1]]=2,Table1[[#This Row],[Column3]]=1,Table1[[#This Row],[Column2]]=1),2,0)</f>
        <v>0</v>
      </c>
      <c r="Y23" s="57">
        <f>IF(AND(Table1[[#This Row],[Column1]]=2,Table1[[#This Row],[Column3]]=2,Table1[[#This Row],[Column2]]=1),3,0)</f>
        <v>0</v>
      </c>
      <c r="Z23" s="57">
        <f>IF(AND(Table1[[#This Row],[Column1]]=2,Table1[[#This Row],[Column3]]=3,Table1[[#This Row],[Column2]]=1),4,0)</f>
        <v>0</v>
      </c>
      <c r="AA23" s="57">
        <f>IF(AND(Table1[[#This Row],[Column1]]=2,Table1[[#This Row],[Column3]]=1,Table1[[#This Row],[Column2]]=2),5,0)</f>
        <v>0</v>
      </c>
      <c r="AB23" s="57">
        <f>IF(AND(Table1[[#This Row],[Column1]]=2,Table1[[#This Row],[Column3]]=2,Table1[[#This Row],[Column2]]=2),6,0)</f>
        <v>0</v>
      </c>
      <c r="AC23" s="57">
        <f>IF(AND(Table1[[#This Row],[Column1]]=2,Table1[[#This Row],[Column3]]=3,Table1[[#This Row],[Column2]]=2),7,0)</f>
        <v>0</v>
      </c>
      <c r="AD23" s="57">
        <f>IF(AND(Table1[[#This Row],[Column1]]=3,Table1[[#This Row],[Column3]]=1),8,0)</f>
        <v>0</v>
      </c>
      <c r="AE23" s="57">
        <f>IF(AND(Table1[[#This Row],[Column1]]=3,Table1[[#This Row],[Column3]]=2),9,0)</f>
        <v>0</v>
      </c>
      <c r="AF23" s="57">
        <f>IF(AND(Table1[[#This Row],[Column1]]=3,Table1[[#This Row],[Column3]]=3),10,0)</f>
        <v>0</v>
      </c>
      <c r="AG23" s="57">
        <f>IF(AND(Table1[[#This Row],[Column1]]=4,Table1[[#This Row],[Column3]]=1),11,0)</f>
        <v>0</v>
      </c>
      <c r="AH23" s="57">
        <f>IF(AND(Table1[[#This Row],[Column1]]=4,Table1[[#This Row],[Column3]]=2),12,0)</f>
        <v>0</v>
      </c>
      <c r="AI23" s="57">
        <f>IF(AND(Table1[[#This Row],[Column1]]=4,Table1[[#This Row],[Column3]]=3),13,0)</f>
        <v>0</v>
      </c>
      <c r="AJ23" s="57">
        <f>IF(AND(Table1[[#This Row],[Column1]]=5,Table1[[#This Row],[Column3]]=1),14,0)</f>
        <v>0</v>
      </c>
      <c r="AK23" s="57">
        <f>IF(AND(Table1[[#This Row],[Column1]]=5,Table1[[#This Row],[Column3]]=2),15,0)</f>
        <v>0</v>
      </c>
      <c r="AL23" s="57">
        <f>IF(AND(Table1[[#This Row],[Column1]]=5,Table1[[#This Row],[Column3]]=3),16,0)</f>
        <v>0</v>
      </c>
      <c r="AM23" s="57">
        <f>IF(AND(Table1[[#This Row],[Column1]]=6,Table1[[#This Row],[Column3]]=1),17,0)</f>
        <v>0</v>
      </c>
      <c r="AN23" s="57">
        <f>IF(AND(Table1[[#This Row],[Column1]]=6,Table1[[#This Row],[Column3]]=2),18,0)</f>
        <v>0</v>
      </c>
      <c r="AO23" s="57">
        <f>IF(AND(Table1[[#This Row],[Column1]]=6,Table1[[#This Row],[Column3]]=3),19,0)</f>
        <v>0</v>
      </c>
      <c r="AP23" s="57">
        <f>IF(AND(Table1[[#This Row],[Column1]]=7,Table1[[#This Row],[Column3]]=1),20,0)</f>
        <v>0</v>
      </c>
      <c r="AQ23" s="57">
        <f>IF(AND(Table1[[#This Row],[Column1]]=7,Table1[[#This Row],[Column3]]=2),21,0)</f>
        <v>0</v>
      </c>
      <c r="AR23" s="57">
        <f>IF(AND(Table1[[#This Row],[Column1]]=7,Table1[[#This Row],[Column3]]=3),22,0)</f>
        <v>0</v>
      </c>
      <c r="AS23" s="57">
        <f>IF(AND(Table1[[#This Row],[Column1]]=8,Table1[[#This Row],[Column3]]=1),23,0)</f>
        <v>0</v>
      </c>
      <c r="AT23" s="57">
        <f>IF(AND(Table1[[#This Row],[Column1]]=8,Table1[[#This Row],[Column3]]=2),24,0)</f>
        <v>0</v>
      </c>
      <c r="AU23" s="57">
        <f>IF(AND(Table1[[#This Row],[Column1]]=8,Table1[[#This Row],[Column3]]=3),25,0)</f>
        <v>0</v>
      </c>
      <c r="AV23" s="57">
        <f>SUM(Table1[[#This Row],[Laden LNG]:[Idle HFO]])</f>
        <v>0</v>
      </c>
      <c r="AW23" s="57">
        <f>IF(AND(Table1[[#This Row],[Reliq]]=1,Table1[[#This Row],[Column3]]=1),26,0)</f>
        <v>0</v>
      </c>
      <c r="AX23" s="57">
        <f>IF(AND(Table1[[#This Row],[Reliq]]=1,Table1[[#This Row],[Column3]]=2),27,0)</f>
        <v>0</v>
      </c>
      <c r="AY23" s="57">
        <f>IF(AND(Table1[[#This Row],[Reliq]]=1,Table1[[#This Row],[Column3]]=3),28,0)</f>
        <v>0</v>
      </c>
      <c r="AZ23" s="57">
        <f>SUM(Table1[[#This Row],[Cooling LNG]:[Cooling HFO]])</f>
        <v>0</v>
      </c>
      <c r="BA23" s="57">
        <f t="shared" si="6"/>
        <v>3</v>
      </c>
    </row>
    <row r="24" spans="1:53" ht="20.100000000000001" customHeight="1" thickBot="1" x14ac:dyDescent="0.25">
      <c r="A24" s="122">
        <v>20</v>
      </c>
      <c r="B24" s="103" t="str">
        <f t="shared" si="8"/>
        <v/>
      </c>
      <c r="C24" s="104" t="str">
        <f t="shared" si="9"/>
        <v/>
      </c>
      <c r="D24" s="43"/>
      <c r="E24" s="44"/>
      <c r="F24" s="45"/>
      <c r="G24" s="58"/>
      <c r="H24" s="50"/>
      <c r="I24" s="50"/>
      <c r="J24" s="50"/>
      <c r="K24" s="82"/>
      <c r="L24" s="95">
        <f t="shared" si="0"/>
        <v>0</v>
      </c>
      <c r="M24" s="96">
        <f t="shared" si="7"/>
        <v>0</v>
      </c>
      <c r="N24" s="94">
        <f t="shared" si="1"/>
        <v>0</v>
      </c>
      <c r="O24" s="91"/>
      <c r="P24" s="57"/>
      <c r="Q24" s="57">
        <f t="shared" si="2"/>
        <v>3</v>
      </c>
      <c r="R24" s="57"/>
      <c r="S24" s="57">
        <f t="shared" si="3"/>
        <v>1</v>
      </c>
      <c r="T24" s="57"/>
      <c r="U24" s="57">
        <f t="shared" si="4"/>
        <v>3</v>
      </c>
      <c r="V24" s="57"/>
      <c r="W24" s="57">
        <f t="shared" si="5"/>
        <v>4</v>
      </c>
      <c r="X24" s="57">
        <f>IF(AND(Table1[[#This Row],[Column1]]=2,Table1[[#This Row],[Column3]]=1,Table1[[#This Row],[Column2]]=1),2,0)</f>
        <v>0</v>
      </c>
      <c r="Y24" s="57">
        <f>IF(AND(Table1[[#This Row],[Column1]]=2,Table1[[#This Row],[Column3]]=2,Table1[[#This Row],[Column2]]=1),3,0)</f>
        <v>0</v>
      </c>
      <c r="Z24" s="57">
        <f>IF(AND(Table1[[#This Row],[Column1]]=2,Table1[[#This Row],[Column3]]=3,Table1[[#This Row],[Column2]]=1),4,0)</f>
        <v>0</v>
      </c>
      <c r="AA24" s="57">
        <f>IF(AND(Table1[[#This Row],[Column1]]=2,Table1[[#This Row],[Column3]]=1,Table1[[#This Row],[Column2]]=2),5,0)</f>
        <v>0</v>
      </c>
      <c r="AB24" s="57">
        <f>IF(AND(Table1[[#This Row],[Column1]]=2,Table1[[#This Row],[Column3]]=2,Table1[[#This Row],[Column2]]=2),6,0)</f>
        <v>0</v>
      </c>
      <c r="AC24" s="57">
        <f>IF(AND(Table1[[#This Row],[Column1]]=2,Table1[[#This Row],[Column3]]=3,Table1[[#This Row],[Column2]]=2),7,0)</f>
        <v>0</v>
      </c>
      <c r="AD24" s="57">
        <f>IF(AND(Table1[[#This Row],[Column1]]=3,Table1[[#This Row],[Column3]]=1),8,0)</f>
        <v>0</v>
      </c>
      <c r="AE24" s="57">
        <f>IF(AND(Table1[[#This Row],[Column1]]=3,Table1[[#This Row],[Column3]]=2),9,0)</f>
        <v>0</v>
      </c>
      <c r="AF24" s="57">
        <f>IF(AND(Table1[[#This Row],[Column1]]=3,Table1[[#This Row],[Column3]]=3),10,0)</f>
        <v>0</v>
      </c>
      <c r="AG24" s="57">
        <f>IF(AND(Table1[[#This Row],[Column1]]=4,Table1[[#This Row],[Column3]]=1),11,0)</f>
        <v>0</v>
      </c>
      <c r="AH24" s="57">
        <f>IF(AND(Table1[[#This Row],[Column1]]=4,Table1[[#This Row],[Column3]]=2),12,0)</f>
        <v>0</v>
      </c>
      <c r="AI24" s="57">
        <f>IF(AND(Table1[[#This Row],[Column1]]=4,Table1[[#This Row],[Column3]]=3),13,0)</f>
        <v>0</v>
      </c>
      <c r="AJ24" s="57">
        <f>IF(AND(Table1[[#This Row],[Column1]]=5,Table1[[#This Row],[Column3]]=1),14,0)</f>
        <v>0</v>
      </c>
      <c r="AK24" s="57">
        <f>IF(AND(Table1[[#This Row],[Column1]]=5,Table1[[#This Row],[Column3]]=2),15,0)</f>
        <v>0</v>
      </c>
      <c r="AL24" s="57">
        <f>IF(AND(Table1[[#This Row],[Column1]]=5,Table1[[#This Row],[Column3]]=3),16,0)</f>
        <v>0</v>
      </c>
      <c r="AM24" s="57">
        <f>IF(AND(Table1[[#This Row],[Column1]]=6,Table1[[#This Row],[Column3]]=1),17,0)</f>
        <v>0</v>
      </c>
      <c r="AN24" s="57">
        <f>IF(AND(Table1[[#This Row],[Column1]]=6,Table1[[#This Row],[Column3]]=2),18,0)</f>
        <v>0</v>
      </c>
      <c r="AO24" s="57">
        <f>IF(AND(Table1[[#This Row],[Column1]]=6,Table1[[#This Row],[Column3]]=3),19,0)</f>
        <v>0</v>
      </c>
      <c r="AP24" s="57">
        <f>IF(AND(Table1[[#This Row],[Column1]]=7,Table1[[#This Row],[Column3]]=1),20,0)</f>
        <v>0</v>
      </c>
      <c r="AQ24" s="57">
        <f>IF(AND(Table1[[#This Row],[Column1]]=7,Table1[[#This Row],[Column3]]=2),21,0)</f>
        <v>0</v>
      </c>
      <c r="AR24" s="57">
        <f>IF(AND(Table1[[#This Row],[Column1]]=7,Table1[[#This Row],[Column3]]=3),22,0)</f>
        <v>0</v>
      </c>
      <c r="AS24" s="57">
        <f>IF(AND(Table1[[#This Row],[Column1]]=8,Table1[[#This Row],[Column3]]=1),23,0)</f>
        <v>0</v>
      </c>
      <c r="AT24" s="57">
        <f>IF(AND(Table1[[#This Row],[Column1]]=8,Table1[[#This Row],[Column3]]=2),24,0)</f>
        <v>0</v>
      </c>
      <c r="AU24" s="57">
        <f>IF(AND(Table1[[#This Row],[Column1]]=8,Table1[[#This Row],[Column3]]=3),25,0)</f>
        <v>0</v>
      </c>
      <c r="AV24" s="57">
        <f>SUM(Table1[[#This Row],[Laden LNG]:[Idle HFO]])</f>
        <v>0</v>
      </c>
      <c r="AW24" s="57">
        <f>IF(AND(Table1[[#This Row],[Reliq]]=1,Table1[[#This Row],[Column3]]=1),26,0)</f>
        <v>0</v>
      </c>
      <c r="AX24" s="57">
        <f>IF(AND(Table1[[#This Row],[Reliq]]=1,Table1[[#This Row],[Column3]]=2),27,0)</f>
        <v>0</v>
      </c>
      <c r="AY24" s="57">
        <f>IF(AND(Table1[[#This Row],[Reliq]]=1,Table1[[#This Row],[Column3]]=3),28,0)</f>
        <v>0</v>
      </c>
      <c r="AZ24" s="57">
        <f>SUM(Table1[[#This Row],[Cooling LNG]:[Cooling HFO]])</f>
        <v>0</v>
      </c>
      <c r="BA24" s="57">
        <f t="shared" si="6"/>
        <v>3</v>
      </c>
    </row>
    <row r="25" spans="1:53" ht="20.100000000000001" customHeight="1" thickTop="1" thickBot="1" x14ac:dyDescent="0.25">
      <c r="A25" s="51" t="s">
        <v>0</v>
      </c>
      <c r="B25" s="52"/>
      <c r="C25" s="52"/>
      <c r="D25" s="53"/>
      <c r="E25" s="53"/>
      <c r="F25" s="53">
        <f>SUM(F5:F24)</f>
        <v>907</v>
      </c>
      <c r="G25" s="53"/>
      <c r="H25" s="53"/>
      <c r="I25" s="53"/>
      <c r="J25" s="53"/>
      <c r="K25" s="54"/>
      <c r="L25" s="78">
        <f>SUM(L5:L24)</f>
        <v>6.9166666666642413</v>
      </c>
      <c r="M25" s="53">
        <f>SUM(M5:M24)</f>
        <v>165.99999999994179</v>
      </c>
      <c r="N25" s="54">
        <f>F25/M25</f>
        <v>5.4638554216886632</v>
      </c>
      <c r="O25" s="66"/>
    </row>
    <row r="26" spans="1:53" ht="20.100000000000001" customHeight="1" thickTop="1" x14ac:dyDescent="0.2"/>
    <row r="27" spans="1:53" ht="20.100000000000001" hidden="1" customHeight="1" x14ac:dyDescent="0.3">
      <c r="A27" s="12" t="s">
        <v>125</v>
      </c>
      <c r="B27" s="20"/>
      <c r="C27" s="20"/>
      <c r="D27" s="21"/>
    </row>
    <row r="28" spans="1:53" ht="20.100000000000001" hidden="1" customHeight="1" thickBot="1" x14ac:dyDescent="0.35">
      <c r="A28" s="12"/>
      <c r="B28" s="70"/>
      <c r="C28" s="70"/>
      <c r="D28" s="70"/>
      <c r="E28" s="70"/>
      <c r="F28" s="70"/>
      <c r="G28" s="70"/>
      <c r="H28" s="70"/>
    </row>
    <row r="29" spans="1:53" ht="20.100000000000001" hidden="1" customHeight="1" thickTop="1" thickBot="1" x14ac:dyDescent="0.25">
      <c r="A29" s="4" t="s">
        <v>44</v>
      </c>
      <c r="B29" s="16" t="s">
        <v>30</v>
      </c>
      <c r="C29" s="16" t="s">
        <v>32</v>
      </c>
      <c r="D29" s="16" t="s">
        <v>34</v>
      </c>
      <c r="E29" s="16" t="s">
        <v>31</v>
      </c>
      <c r="F29" s="16" t="s">
        <v>33</v>
      </c>
      <c r="G29" s="16" t="s">
        <v>35</v>
      </c>
      <c r="H29" s="30" t="s">
        <v>65</v>
      </c>
      <c r="I29" s="30" t="s">
        <v>66</v>
      </c>
      <c r="J29" s="30" t="s">
        <v>67</v>
      </c>
      <c r="K29" s="30" t="s">
        <v>68</v>
      </c>
      <c r="L29" s="30" t="s">
        <v>69</v>
      </c>
      <c r="M29" s="30" t="s">
        <v>70</v>
      </c>
      <c r="N29" s="30" t="s">
        <v>82</v>
      </c>
      <c r="O29" s="30" t="s">
        <v>83</v>
      </c>
      <c r="P29" s="30" t="s">
        <v>84</v>
      </c>
      <c r="Q29" s="30" t="s">
        <v>85</v>
      </c>
      <c r="R29" s="30" t="s">
        <v>86</v>
      </c>
      <c r="S29" s="30" t="s">
        <v>87</v>
      </c>
      <c r="T29" s="30" t="s">
        <v>88</v>
      </c>
      <c r="U29" s="30" t="s">
        <v>89</v>
      </c>
      <c r="V29" s="30" t="s">
        <v>90</v>
      </c>
      <c r="W29" s="30" t="s">
        <v>91</v>
      </c>
      <c r="X29" s="30" t="s">
        <v>92</v>
      </c>
      <c r="Y29" s="30" t="s">
        <v>93</v>
      </c>
      <c r="Z29" s="30" t="s">
        <v>71</v>
      </c>
      <c r="AA29" s="30" t="s">
        <v>72</v>
      </c>
      <c r="AB29" s="17" t="s">
        <v>73</v>
      </c>
      <c r="AC29" s="16" t="s">
        <v>127</v>
      </c>
      <c r="AD29" s="17" t="s">
        <v>128</v>
      </c>
      <c r="AE29" s="17" t="s">
        <v>129</v>
      </c>
    </row>
    <row r="30" spans="1:53" ht="20.100000000000001" hidden="1" customHeight="1" thickTop="1" x14ac:dyDescent="0.2">
      <c r="A30" s="39">
        <f>A5</f>
        <v>1</v>
      </c>
      <c r="B30" s="25">
        <f>IF(D5="",0,VLOOKUP($N5,'Consumption Inputs'!$A$40:$I$117,2))</f>
        <v>105.37190082644625</v>
      </c>
      <c r="C30" s="25">
        <f>IF(D5="",0,VLOOKUP($N5,'Consumption Inputs'!$A$40:$I$117,4))</f>
        <v>49.92505854800936</v>
      </c>
      <c r="D30" s="25">
        <f>IF(D5="",0,VLOOKUP($N5,'Consumption Inputs'!$A$40:$I$117,6))</f>
        <v>50.999999999999993</v>
      </c>
      <c r="E30" s="25">
        <f>IF(D5="",0,VLOOKUP($N5,'Consumption Inputs'!$A$40:$I$117,3))</f>
        <v>101.23966942148762</v>
      </c>
      <c r="F30" s="25">
        <f>IF(D5="",0,VLOOKUP($N5,'Consumption Inputs'!$A$40:$I$117,5))</f>
        <v>47.967213114754109</v>
      </c>
      <c r="G30" s="25">
        <f>IF(D5="",0,VLOOKUP($N5,'Consumption Inputs'!$A$40:$I$117,7))</f>
        <v>49.000000000000007</v>
      </c>
      <c r="H30" s="33">
        <f>IF(D5="",0,'Consumption Inputs'!$B$36)</f>
        <v>55.785123966942152</v>
      </c>
      <c r="I30" s="33">
        <f>IF(D5="",0,'Consumption Inputs'!$D$36)</f>
        <v>26.430913348946135</v>
      </c>
      <c r="J30" s="33">
        <f>IF(D5="",0,'Consumption Inputs'!$F$36)</f>
        <v>27</v>
      </c>
      <c r="K30" s="33">
        <f>IF(D5="",0,'Consumption Inputs'!$B$37)</f>
        <v>90.909090909090907</v>
      </c>
      <c r="L30" s="33">
        <f>IF(D5="",0,'Consumption Inputs'!$D$37)</f>
        <v>43.072599531615921</v>
      </c>
      <c r="M30" s="33">
        <f>IF(D5="",0,'Consumption Inputs'!$F$37)</f>
        <v>44</v>
      </c>
      <c r="N30" s="33">
        <f>IF(D5="",0,'Consumption Inputs'!$B$42)</f>
        <v>84.710743801652896</v>
      </c>
      <c r="O30" s="33">
        <f>IF(D5="",0,'Consumption Inputs'!$D$42)</f>
        <v>40.13583138173302</v>
      </c>
      <c r="P30" s="33">
        <f>IF(D5="",0,'Consumption Inputs'!$F$42)</f>
        <v>41</v>
      </c>
      <c r="Q30" s="33">
        <f>IF(D5="",0,'Consumption Inputs'!$B$34)</f>
        <v>30.991735537190085</v>
      </c>
      <c r="R30" s="33">
        <f>IF(D5="",0,'Consumption Inputs'!$D$34)</f>
        <v>14.68384074941452</v>
      </c>
      <c r="S30" s="33">
        <f>IF(D5="",0,'Consumption Inputs'!$F$34)</f>
        <v>15</v>
      </c>
      <c r="T30" s="33">
        <f>IF(D5="",0,'Consumption Inputs'!$B$35)</f>
        <v>30.991735537190085</v>
      </c>
      <c r="U30" s="33">
        <f>IF(D5="",0,'Consumption Inputs'!$D$35)</f>
        <v>14.68384074941452</v>
      </c>
      <c r="V30" s="33">
        <f>IF(D5="",0,'Consumption Inputs'!$F$35)</f>
        <v>15</v>
      </c>
      <c r="W30" s="33">
        <f>IF(D5="",0,'Consumption Inputs'!$B$34)</f>
        <v>30.991735537190085</v>
      </c>
      <c r="X30" s="33">
        <f>IF(D5="",0,'Consumption Inputs'!$D$34)</f>
        <v>14.68384074941452</v>
      </c>
      <c r="Y30" s="33">
        <f>IF(D5="",0,'Consumption Inputs'!$F$34)</f>
        <v>15</v>
      </c>
      <c r="Z30" s="33">
        <f>IF(D5="",0,'Consumption Inputs'!$B$38)</f>
        <v>12.396694214876034</v>
      </c>
      <c r="AA30" s="33">
        <f>IF(D5="",0,'Consumption Inputs'!$D$38)</f>
        <v>5.8735362997658083</v>
      </c>
      <c r="AB30" s="25">
        <f>IF(D5="",0,'Consumption Inputs'!$F$38)</f>
        <v>6</v>
      </c>
      <c r="AC30" s="25">
        <f>IF(D5="",0,VLOOKUP($N5,'Consumption Inputs'!$A$40:$I$117,8))</f>
        <v>0</v>
      </c>
      <c r="AD30" s="25">
        <f>IF(D5="",0,VLOOKUP($N5,'Consumption Inputs'!$A$40:$I$117,9))</f>
        <v>0.6</v>
      </c>
      <c r="AE30" s="35">
        <f>IF(D5="",0,'Consumption Inputs'!$B$18)</f>
        <v>0.1</v>
      </c>
    </row>
    <row r="31" spans="1:53" ht="20.100000000000001" hidden="1" customHeight="1" x14ac:dyDescent="0.2">
      <c r="A31" s="39">
        <f t="shared" ref="A31:A49" si="10">A6</f>
        <v>2</v>
      </c>
      <c r="B31" s="31">
        <f>IF(D6="",0,VLOOKUP($N6,'Consumption Inputs'!$A$40:$I$117,2))</f>
        <v>30.991735537190085</v>
      </c>
      <c r="C31" s="31">
        <f>IF(D6="",0,VLOOKUP($N6,'Consumption Inputs'!$A$40:$I$117,4))</f>
        <v>14.68384074941452</v>
      </c>
      <c r="D31" s="31">
        <f>IF(D6="",0,VLOOKUP($N6,'Consumption Inputs'!$A$40:$I$117,6))</f>
        <v>15</v>
      </c>
      <c r="E31" s="31">
        <f>IF(D6="",0,VLOOKUP($N6,'Consumption Inputs'!$A$40:$I$117,3))</f>
        <v>30.991735537190085</v>
      </c>
      <c r="F31" s="31">
        <f>IF(D6="",0,VLOOKUP($N6,'Consumption Inputs'!$A$40:$I$117,5))</f>
        <v>14.68384074941452</v>
      </c>
      <c r="G31" s="31">
        <f>IF(D6="",0,VLOOKUP($N6,'Consumption Inputs'!$A$40:$I$117,7))</f>
        <v>15</v>
      </c>
      <c r="H31" s="32">
        <f>IF(D6="",0,'Consumption Inputs'!$B$36)</f>
        <v>55.785123966942152</v>
      </c>
      <c r="I31" s="32">
        <f>IF(D6="",0,'Consumption Inputs'!$D$36)</f>
        <v>26.430913348946135</v>
      </c>
      <c r="J31" s="32">
        <f>IF(D6="",0,'Consumption Inputs'!$F$36)</f>
        <v>27</v>
      </c>
      <c r="K31" s="32">
        <f>IF(D6="",0,'Consumption Inputs'!$B$37)</f>
        <v>90.909090909090907</v>
      </c>
      <c r="L31" s="32">
        <f>IF(D6="",0,'Consumption Inputs'!$D$37)</f>
        <v>43.072599531615921</v>
      </c>
      <c r="M31" s="32">
        <f>IF(D6="",0,'Consumption Inputs'!$F$37)</f>
        <v>44</v>
      </c>
      <c r="N31" s="32">
        <f>IF(D6="",0,'Consumption Inputs'!$B$42)</f>
        <v>84.710743801652896</v>
      </c>
      <c r="O31" s="32">
        <f>IF(D6="",0,'Consumption Inputs'!$D$42)</f>
        <v>40.13583138173302</v>
      </c>
      <c r="P31" s="32">
        <f>IF(D6="",0,'Consumption Inputs'!$F$42)</f>
        <v>41</v>
      </c>
      <c r="Q31" s="32">
        <f>IF(D6="",0,'Consumption Inputs'!$B$34)</f>
        <v>30.991735537190085</v>
      </c>
      <c r="R31" s="32">
        <f>IF(D6="",0,'Consumption Inputs'!$D$34)</f>
        <v>14.68384074941452</v>
      </c>
      <c r="S31" s="32">
        <f>IF(D6="",0,'Consumption Inputs'!$F$34)</f>
        <v>15</v>
      </c>
      <c r="T31" s="32">
        <f>IF(D6="",0,'Consumption Inputs'!$B$35)</f>
        <v>30.991735537190085</v>
      </c>
      <c r="U31" s="32">
        <f>IF(D6="",0,'Consumption Inputs'!$D$35)</f>
        <v>14.68384074941452</v>
      </c>
      <c r="V31" s="32">
        <f>IF(D6="",0,'Consumption Inputs'!$F$35)</f>
        <v>15</v>
      </c>
      <c r="W31" s="32">
        <f>IF(D6="",0,'Consumption Inputs'!$B$34)</f>
        <v>30.991735537190085</v>
      </c>
      <c r="X31" s="32">
        <f>IF(D6="",0,'Consumption Inputs'!$D$34)</f>
        <v>14.68384074941452</v>
      </c>
      <c r="Y31" s="32">
        <f>IF(D6="",0,'Consumption Inputs'!$F$34)</f>
        <v>15</v>
      </c>
      <c r="Z31" s="32">
        <f>IF(D6="",0,'Consumption Inputs'!$B$38)</f>
        <v>12.396694214876034</v>
      </c>
      <c r="AA31" s="32">
        <f>IF(D6="",0,'Consumption Inputs'!$D$38)</f>
        <v>5.8735362997658083</v>
      </c>
      <c r="AB31" s="31">
        <f>IF(D6="",0,'Consumption Inputs'!$F$38)</f>
        <v>6</v>
      </c>
      <c r="AC31" s="31">
        <f>IF(D6="",0,VLOOKUP($N6,'Consumption Inputs'!$A$40:$I$117,8))</f>
        <v>2.5</v>
      </c>
      <c r="AD31" s="31">
        <f>IF(D6="",0,VLOOKUP($N6,'Consumption Inputs'!$A$40:$I$117,9))</f>
        <v>0.5</v>
      </c>
      <c r="AE31" s="34">
        <f>IF(D6="",0,'Consumption Inputs'!$B$18)</f>
        <v>0.1</v>
      </c>
    </row>
    <row r="32" spans="1:53" ht="20.100000000000001" hidden="1" customHeight="1" x14ac:dyDescent="0.2">
      <c r="A32" s="39">
        <f t="shared" si="10"/>
        <v>3</v>
      </c>
      <c r="B32" s="31">
        <f>IF(D7="",0,VLOOKUP($N7,'Consumption Inputs'!$A$40:$I$117,2))</f>
        <v>87.190082644628106</v>
      </c>
      <c r="C32" s="31">
        <f>IF(D7="",0,VLOOKUP($N7,'Consumption Inputs'!$A$40:$I$117,4))</f>
        <v>41.310538641686186</v>
      </c>
      <c r="D32" s="31">
        <f>IF(D7="",0,VLOOKUP($N7,'Consumption Inputs'!$A$40:$I$117,6))</f>
        <v>42.2</v>
      </c>
      <c r="E32" s="31">
        <f>IF(D7="",0,VLOOKUP($N7,'Consumption Inputs'!$A$40:$I$117,3))</f>
        <v>86.776859504132247</v>
      </c>
      <c r="F32" s="31">
        <f>IF(D7="",0,VLOOKUP($N7,'Consumption Inputs'!$A$40:$I$117,5))</f>
        <v>41.114754098360656</v>
      </c>
      <c r="G32" s="31">
        <f>IF(D7="",0,VLOOKUP($N7,'Consumption Inputs'!$A$40:$I$117,7))</f>
        <v>42</v>
      </c>
      <c r="H32" s="32">
        <f>IF(D7="",0,'Consumption Inputs'!$B$36)</f>
        <v>55.785123966942152</v>
      </c>
      <c r="I32" s="32">
        <f>IF(D7="",0,'Consumption Inputs'!$D$36)</f>
        <v>26.430913348946135</v>
      </c>
      <c r="J32" s="32">
        <f>IF(D7="",0,'Consumption Inputs'!$F$36)</f>
        <v>27</v>
      </c>
      <c r="K32" s="32">
        <f>IF(D7="",0,'Consumption Inputs'!$B$37)</f>
        <v>90.909090909090907</v>
      </c>
      <c r="L32" s="32">
        <f>IF(D7="",0,'Consumption Inputs'!$D$37)</f>
        <v>43.072599531615921</v>
      </c>
      <c r="M32" s="32">
        <f>IF(D7="",0,'Consumption Inputs'!$F$37)</f>
        <v>44</v>
      </c>
      <c r="N32" s="32">
        <f>IF(D7="",0,'Consumption Inputs'!$B$42)</f>
        <v>84.710743801652896</v>
      </c>
      <c r="O32" s="32">
        <f>IF(D7="",0,'Consumption Inputs'!$D$42)</f>
        <v>40.13583138173302</v>
      </c>
      <c r="P32" s="32">
        <f>IF(D7="",0,'Consumption Inputs'!$F$42)</f>
        <v>41</v>
      </c>
      <c r="Q32" s="32">
        <f>IF(D7="",0,'Consumption Inputs'!$B$34)</f>
        <v>30.991735537190085</v>
      </c>
      <c r="R32" s="32">
        <f>IF(D7="",0,'Consumption Inputs'!$D$34)</f>
        <v>14.68384074941452</v>
      </c>
      <c r="S32" s="32">
        <f>IF(D7="",0,'Consumption Inputs'!$F$34)</f>
        <v>15</v>
      </c>
      <c r="T32" s="32">
        <f>IF(D7="",0,'Consumption Inputs'!$B$35)</f>
        <v>30.991735537190085</v>
      </c>
      <c r="U32" s="32">
        <f>IF(D7="",0,'Consumption Inputs'!$D$35)</f>
        <v>14.68384074941452</v>
      </c>
      <c r="V32" s="32">
        <f>IF(D7="",0,'Consumption Inputs'!$F$35)</f>
        <v>15</v>
      </c>
      <c r="W32" s="32">
        <f>IF(D7="",0,'Consumption Inputs'!$B$34)</f>
        <v>30.991735537190085</v>
      </c>
      <c r="X32" s="32">
        <f>IF(D7="",0,'Consumption Inputs'!$D$34)</f>
        <v>14.68384074941452</v>
      </c>
      <c r="Y32" s="32">
        <f>IF(D7="",0,'Consumption Inputs'!$F$34)</f>
        <v>15</v>
      </c>
      <c r="Z32" s="32">
        <f>IF(D7="",0,'Consumption Inputs'!$B$38)</f>
        <v>12.396694214876034</v>
      </c>
      <c r="AA32" s="32">
        <f>IF(D7="",0,'Consumption Inputs'!$D$38)</f>
        <v>5.8735362997658083</v>
      </c>
      <c r="AB32" s="31">
        <f>IF(D7="",0,'Consumption Inputs'!$F$38)</f>
        <v>6</v>
      </c>
      <c r="AC32" s="31">
        <f>IF(D7="",0,VLOOKUP($N7,'Consumption Inputs'!$A$40:$I$117,8))</f>
        <v>0</v>
      </c>
      <c r="AD32" s="31">
        <f>IF(D7="",0,VLOOKUP($N7,'Consumption Inputs'!$A$40:$I$117,9))</f>
        <v>0.6</v>
      </c>
      <c r="AE32" s="34">
        <f>IF(D7="",0,'Consumption Inputs'!$B$18)</f>
        <v>0.1</v>
      </c>
    </row>
    <row r="33" spans="1:31" ht="20.100000000000001" hidden="1" customHeight="1" x14ac:dyDescent="0.2">
      <c r="A33" s="39">
        <f t="shared" si="10"/>
        <v>4</v>
      </c>
      <c r="B33" s="31">
        <f>IF(D8="",0,VLOOKUP($N8,'Consumption Inputs'!$A$40:$I$117,2))</f>
        <v>30.991735537190085</v>
      </c>
      <c r="C33" s="31">
        <f>IF(D8="",0,VLOOKUP($N8,'Consumption Inputs'!$A$40:$I$117,4))</f>
        <v>14.68384074941452</v>
      </c>
      <c r="D33" s="31">
        <f>IF(D8="",0,VLOOKUP($N8,'Consumption Inputs'!$A$40:$I$117,6))</f>
        <v>15</v>
      </c>
      <c r="E33" s="31">
        <f>IF(D8="",0,VLOOKUP($N8,'Consumption Inputs'!$A$40:$I$117,3))</f>
        <v>30.991735537190085</v>
      </c>
      <c r="F33" s="31">
        <f>IF(D8="",0,VLOOKUP($N8,'Consumption Inputs'!$A$40:$I$117,5))</f>
        <v>14.68384074941452</v>
      </c>
      <c r="G33" s="31">
        <f>IF(D8="",0,VLOOKUP($N8,'Consumption Inputs'!$A$40:$I$117,7))</f>
        <v>15</v>
      </c>
      <c r="H33" s="32">
        <f>IF(D8="",0,'Consumption Inputs'!$B$36)</f>
        <v>55.785123966942152</v>
      </c>
      <c r="I33" s="32">
        <f>IF(D8="",0,'Consumption Inputs'!$D$36)</f>
        <v>26.430913348946135</v>
      </c>
      <c r="J33" s="32">
        <f>IF(D8="",0,'Consumption Inputs'!$F$36)</f>
        <v>27</v>
      </c>
      <c r="K33" s="32">
        <f>IF(D8="",0,'Consumption Inputs'!$B$37)</f>
        <v>90.909090909090907</v>
      </c>
      <c r="L33" s="32">
        <f>IF(D8="",0,'Consumption Inputs'!$D$37)</f>
        <v>43.072599531615921</v>
      </c>
      <c r="M33" s="32">
        <f>IF(D8="",0,'Consumption Inputs'!$F$37)</f>
        <v>44</v>
      </c>
      <c r="N33" s="32">
        <f>IF(D8="",0,'Consumption Inputs'!$B$42)</f>
        <v>84.710743801652896</v>
      </c>
      <c r="O33" s="32">
        <f>IF(D8="",0,'Consumption Inputs'!$D$42)</f>
        <v>40.13583138173302</v>
      </c>
      <c r="P33" s="32">
        <f>IF(D8="",0,'Consumption Inputs'!$F$42)</f>
        <v>41</v>
      </c>
      <c r="Q33" s="32">
        <f>IF(D8="",0,'Consumption Inputs'!$B$34)</f>
        <v>30.991735537190085</v>
      </c>
      <c r="R33" s="32">
        <f>IF(D8="",0,'Consumption Inputs'!$D$34)</f>
        <v>14.68384074941452</v>
      </c>
      <c r="S33" s="32">
        <f>IF(D8="",0,'Consumption Inputs'!$F$34)</f>
        <v>15</v>
      </c>
      <c r="T33" s="32">
        <f>IF(D8="",0,'Consumption Inputs'!$B$35)</f>
        <v>30.991735537190085</v>
      </c>
      <c r="U33" s="32">
        <f>IF(D8="",0,'Consumption Inputs'!$D$35)</f>
        <v>14.68384074941452</v>
      </c>
      <c r="V33" s="32">
        <f>IF(D8="",0,'Consumption Inputs'!$F$35)</f>
        <v>15</v>
      </c>
      <c r="W33" s="32">
        <f>IF(D8="",0,'Consumption Inputs'!$B$34)</f>
        <v>30.991735537190085</v>
      </c>
      <c r="X33" s="32">
        <f>IF(D8="",0,'Consumption Inputs'!$D$34)</f>
        <v>14.68384074941452</v>
      </c>
      <c r="Y33" s="32">
        <f>IF(D8="",0,'Consumption Inputs'!$F$34)</f>
        <v>15</v>
      </c>
      <c r="Z33" s="32">
        <f>IF(D8="",0,'Consumption Inputs'!$B$38)</f>
        <v>12.396694214876034</v>
      </c>
      <c r="AA33" s="32">
        <f>IF(D8="",0,'Consumption Inputs'!$D$38)</f>
        <v>5.8735362997658083</v>
      </c>
      <c r="AB33" s="31">
        <f>IF(D8="",0,'Consumption Inputs'!$F$38)</f>
        <v>6</v>
      </c>
      <c r="AC33" s="31">
        <f>IF(D8="",0,VLOOKUP($N8,'Consumption Inputs'!$A$40:$I$117,8))</f>
        <v>2.5</v>
      </c>
      <c r="AD33" s="31">
        <f>IF(D8="",0,VLOOKUP($N8,'Consumption Inputs'!$A$40:$I$117,9))</f>
        <v>0.5</v>
      </c>
      <c r="AE33" s="34">
        <f>IF(D8="",0,'Consumption Inputs'!$B$18)</f>
        <v>0.1</v>
      </c>
    </row>
    <row r="34" spans="1:31" ht="20.100000000000001" hidden="1" customHeight="1" x14ac:dyDescent="0.2">
      <c r="A34" s="39">
        <f t="shared" si="10"/>
        <v>5</v>
      </c>
      <c r="B34" s="31">
        <f>IF(D9="",0,VLOOKUP($N9,'Consumption Inputs'!$A$40:$I$117,2))</f>
        <v>84.710743801652896</v>
      </c>
      <c r="C34" s="31">
        <f>IF(D9="",0,VLOOKUP($N9,'Consumption Inputs'!$A$40:$I$117,4))</f>
        <v>40.13583138173302</v>
      </c>
      <c r="D34" s="31">
        <f>IF(D9="",0,VLOOKUP($N9,'Consumption Inputs'!$A$40:$I$117,6))</f>
        <v>41</v>
      </c>
      <c r="E34" s="31">
        <f>IF(D9="",0,VLOOKUP($N9,'Consumption Inputs'!$A$40:$I$117,3))</f>
        <v>86.776859504132233</v>
      </c>
      <c r="F34" s="31">
        <f>IF(D9="",0,VLOOKUP($N9,'Consumption Inputs'!$A$40:$I$117,5))</f>
        <v>41.114754098360656</v>
      </c>
      <c r="G34" s="31">
        <f>IF(D9="",0,VLOOKUP($N9,'Consumption Inputs'!$A$40:$I$117,7))</f>
        <v>42.000000000000007</v>
      </c>
      <c r="H34" s="32">
        <f>IF(D9="",0,'Consumption Inputs'!$B$36)</f>
        <v>55.785123966942152</v>
      </c>
      <c r="I34" s="32">
        <f>IF(D9="",0,'Consumption Inputs'!$D$36)</f>
        <v>26.430913348946135</v>
      </c>
      <c r="J34" s="32">
        <f>IF(D9="",0,'Consumption Inputs'!$F$36)</f>
        <v>27</v>
      </c>
      <c r="K34" s="32">
        <f>IF(D9="",0,'Consumption Inputs'!$B$37)</f>
        <v>90.909090909090907</v>
      </c>
      <c r="L34" s="32">
        <f>IF(D9="",0,'Consumption Inputs'!$D$37)</f>
        <v>43.072599531615921</v>
      </c>
      <c r="M34" s="32">
        <f>IF(D9="",0,'Consumption Inputs'!$F$37)</f>
        <v>44</v>
      </c>
      <c r="N34" s="32">
        <f>IF(D9="",0,'Consumption Inputs'!$B$42)</f>
        <v>84.710743801652896</v>
      </c>
      <c r="O34" s="32">
        <f>IF(D9="",0,'Consumption Inputs'!$D$42)</f>
        <v>40.13583138173302</v>
      </c>
      <c r="P34" s="32">
        <f>IF(D9="",0,'Consumption Inputs'!$F$42)</f>
        <v>41</v>
      </c>
      <c r="Q34" s="32">
        <f>IF(D9="",0,'Consumption Inputs'!$B$34)</f>
        <v>30.991735537190085</v>
      </c>
      <c r="R34" s="32">
        <f>IF(D9="",0,'Consumption Inputs'!$D$34)</f>
        <v>14.68384074941452</v>
      </c>
      <c r="S34" s="32">
        <f>IF(D9="",0,'Consumption Inputs'!$F$34)</f>
        <v>15</v>
      </c>
      <c r="T34" s="32">
        <f>IF(D9="",0,'Consumption Inputs'!$B$35)</f>
        <v>30.991735537190085</v>
      </c>
      <c r="U34" s="32">
        <f>IF(D9="",0,'Consumption Inputs'!$D$35)</f>
        <v>14.68384074941452</v>
      </c>
      <c r="V34" s="32">
        <f>IF(D9="",0,'Consumption Inputs'!$F$35)</f>
        <v>15</v>
      </c>
      <c r="W34" s="32">
        <f>IF(D9="",0,'Consumption Inputs'!$B$34)</f>
        <v>30.991735537190085</v>
      </c>
      <c r="X34" s="32">
        <f>IF(D9="",0,'Consumption Inputs'!$D$34)</f>
        <v>14.68384074941452</v>
      </c>
      <c r="Y34" s="32">
        <f>IF(D9="",0,'Consumption Inputs'!$F$34)</f>
        <v>15</v>
      </c>
      <c r="Z34" s="32">
        <f>IF(D9="",0,'Consumption Inputs'!$B$38)</f>
        <v>12.396694214876034</v>
      </c>
      <c r="AA34" s="32">
        <f>IF(D9="",0,'Consumption Inputs'!$D$38)</f>
        <v>5.8735362997658083</v>
      </c>
      <c r="AB34" s="31">
        <f>IF(D9="",0,'Consumption Inputs'!$F$38)</f>
        <v>6</v>
      </c>
      <c r="AC34" s="31">
        <f>IF(D9="",0,VLOOKUP($N9,'Consumption Inputs'!$A$40:$I$117,8))</f>
        <v>2.5</v>
      </c>
      <c r="AD34" s="31">
        <f>IF(D9="",0,VLOOKUP($N9,'Consumption Inputs'!$A$40:$I$117,9))</f>
        <v>0.6</v>
      </c>
      <c r="AE34" s="34">
        <f>IF(D9="",0,'Consumption Inputs'!$B$18)</f>
        <v>0.1</v>
      </c>
    </row>
    <row r="35" spans="1:31" ht="20.100000000000001" hidden="1" customHeight="1" x14ac:dyDescent="0.2">
      <c r="A35" s="39">
        <f t="shared" si="10"/>
        <v>6</v>
      </c>
      <c r="B35" s="31">
        <f>IF(D10="",0,VLOOKUP($N10,'Consumption Inputs'!$A$40:$I$117,2))</f>
        <v>0</v>
      </c>
      <c r="C35" s="31">
        <f>IF(D10="",0,VLOOKUP($N10,'Consumption Inputs'!$A$40:$I$117,4))</f>
        <v>0</v>
      </c>
      <c r="D35" s="31">
        <f>IF(D10="",0,VLOOKUP($N10,'Consumption Inputs'!$A$40:$I$117,6))</f>
        <v>0</v>
      </c>
      <c r="E35" s="31">
        <f>IF(D10="",0,VLOOKUP($N10,'Consumption Inputs'!$A$40:$I$117,3))</f>
        <v>0</v>
      </c>
      <c r="F35" s="31">
        <f>IF(D10="",0,VLOOKUP($N10,'Consumption Inputs'!$A$40:$I$117,5))</f>
        <v>0</v>
      </c>
      <c r="G35" s="31">
        <f>IF(D10="",0,VLOOKUP($N10,'Consumption Inputs'!$A$40:$I$117,7))</f>
        <v>0</v>
      </c>
      <c r="H35" s="32">
        <f>IF(D10="",0,'Consumption Inputs'!$B$36)</f>
        <v>0</v>
      </c>
      <c r="I35" s="32">
        <f>IF(D10="",0,'Consumption Inputs'!$D$36)</f>
        <v>0</v>
      </c>
      <c r="J35" s="32">
        <f>IF(D10="",0,'Consumption Inputs'!$F$36)</f>
        <v>0</v>
      </c>
      <c r="K35" s="32">
        <f>IF(D10="",0,'Consumption Inputs'!$B$37)</f>
        <v>0</v>
      </c>
      <c r="L35" s="32">
        <f>IF(D10="",0,'Consumption Inputs'!$D$37)</f>
        <v>0</v>
      </c>
      <c r="M35" s="32">
        <f>IF(D10="",0,'Consumption Inputs'!$F$37)</f>
        <v>0</v>
      </c>
      <c r="N35" s="32">
        <f>IF(D10="",0,'Consumption Inputs'!$B$42)</f>
        <v>0</v>
      </c>
      <c r="O35" s="32">
        <f>IF(D10="",0,'Consumption Inputs'!$D$42)</f>
        <v>0</v>
      </c>
      <c r="P35" s="32">
        <f>IF(D10="",0,'Consumption Inputs'!$F$42)</f>
        <v>0</v>
      </c>
      <c r="Q35" s="32">
        <f>IF(D10="",0,'Consumption Inputs'!$B$34)</f>
        <v>0</v>
      </c>
      <c r="R35" s="32">
        <f>IF(D10="",0,'Consumption Inputs'!$D$34)</f>
        <v>0</v>
      </c>
      <c r="S35" s="32">
        <f>IF(D10="",0,'Consumption Inputs'!$F$34)</f>
        <v>0</v>
      </c>
      <c r="T35" s="32">
        <f>IF(D10="",0,'Consumption Inputs'!$B$35)</f>
        <v>0</v>
      </c>
      <c r="U35" s="32">
        <f>IF(D10="",0,'Consumption Inputs'!$D$35)</f>
        <v>0</v>
      </c>
      <c r="V35" s="32">
        <f>IF(D10="",0,'Consumption Inputs'!$F$35)</f>
        <v>0</v>
      </c>
      <c r="W35" s="32">
        <f>IF(D10="",0,'Consumption Inputs'!$B$34)</f>
        <v>0</v>
      </c>
      <c r="X35" s="32">
        <f>IF(D10="",0,'Consumption Inputs'!$D$34)</f>
        <v>0</v>
      </c>
      <c r="Y35" s="32">
        <f>IF(D10="",0,'Consumption Inputs'!$F$34)</f>
        <v>0</v>
      </c>
      <c r="Z35" s="32">
        <f>IF(D10="",0,'Consumption Inputs'!$B$38)</f>
        <v>0</v>
      </c>
      <c r="AA35" s="32">
        <f>IF(D10="",0,'Consumption Inputs'!$D$38)</f>
        <v>0</v>
      </c>
      <c r="AB35" s="31">
        <f>IF(D10="",0,'Consumption Inputs'!$F$38)</f>
        <v>0</v>
      </c>
      <c r="AC35" s="31">
        <f>IF(D10="",0,VLOOKUP($N10,'Consumption Inputs'!$A$40:$I$117,8))</f>
        <v>0</v>
      </c>
      <c r="AD35" s="31">
        <f>IF(D10="",0,VLOOKUP($N10,'Consumption Inputs'!$A$40:$I$117,9))</f>
        <v>0</v>
      </c>
      <c r="AE35" s="34">
        <f>IF(D10="",0,'Consumption Inputs'!$B$18)</f>
        <v>0</v>
      </c>
    </row>
    <row r="36" spans="1:31" ht="20.100000000000001" hidden="1" customHeight="1" x14ac:dyDescent="0.2">
      <c r="A36" s="39">
        <f t="shared" si="10"/>
        <v>7</v>
      </c>
      <c r="B36" s="31">
        <f>IF(D11="",0,VLOOKUP($N11,'Consumption Inputs'!$A$40:$I$117,2))</f>
        <v>0</v>
      </c>
      <c r="C36" s="31">
        <f>IF(D11="",0,VLOOKUP($N11,'Consumption Inputs'!$A$40:$I$117,4))</f>
        <v>0</v>
      </c>
      <c r="D36" s="31">
        <f>IF(D11="",0,VLOOKUP($N11,'Consumption Inputs'!$A$40:$I$117,6))</f>
        <v>0</v>
      </c>
      <c r="E36" s="31">
        <f>IF(D11="",0,VLOOKUP($N11,'Consumption Inputs'!$A$40:$I$117,3))</f>
        <v>0</v>
      </c>
      <c r="F36" s="31">
        <f>IF(D11="",0,VLOOKUP($N11,'Consumption Inputs'!$A$40:$I$117,5))</f>
        <v>0</v>
      </c>
      <c r="G36" s="31">
        <f>IF(D11="",0,VLOOKUP($N11,'Consumption Inputs'!$A$40:$I$117,7))</f>
        <v>0</v>
      </c>
      <c r="H36" s="32">
        <f>IF(D11="",0,'Consumption Inputs'!$B$36)</f>
        <v>0</v>
      </c>
      <c r="I36" s="32">
        <f>IF(D11="",0,'Consumption Inputs'!$D$36)</f>
        <v>0</v>
      </c>
      <c r="J36" s="32">
        <f>IF(D11="",0,'Consumption Inputs'!$F$36)</f>
        <v>0</v>
      </c>
      <c r="K36" s="32">
        <f>IF(D11="",0,'Consumption Inputs'!$B$37)</f>
        <v>0</v>
      </c>
      <c r="L36" s="32">
        <f>IF(D11="",0,'Consumption Inputs'!$D$37)</f>
        <v>0</v>
      </c>
      <c r="M36" s="32">
        <f>IF(D11="",0,'Consumption Inputs'!$F$37)</f>
        <v>0</v>
      </c>
      <c r="N36" s="32">
        <f>IF(D11="",0,'Consumption Inputs'!$B$42)</f>
        <v>0</v>
      </c>
      <c r="O36" s="32">
        <f>IF(D11="",0,'Consumption Inputs'!$D$42)</f>
        <v>0</v>
      </c>
      <c r="P36" s="32">
        <f>IF(D11="",0,'Consumption Inputs'!$F$42)</f>
        <v>0</v>
      </c>
      <c r="Q36" s="32">
        <f>IF(D11="",0,'Consumption Inputs'!$B$34)</f>
        <v>0</v>
      </c>
      <c r="R36" s="32">
        <f>IF(D11="",0,'Consumption Inputs'!$D$34)</f>
        <v>0</v>
      </c>
      <c r="S36" s="32">
        <f>IF(D11="",0,'Consumption Inputs'!$F$34)</f>
        <v>0</v>
      </c>
      <c r="T36" s="32">
        <f>IF(D11="",0,'Consumption Inputs'!$B$35)</f>
        <v>0</v>
      </c>
      <c r="U36" s="32">
        <f>IF(D11="",0,'Consumption Inputs'!$D$35)</f>
        <v>0</v>
      </c>
      <c r="V36" s="32">
        <f>IF(D11="",0,'Consumption Inputs'!$F$35)</f>
        <v>0</v>
      </c>
      <c r="W36" s="32">
        <f>IF(D11="",0,'Consumption Inputs'!$B$34)</f>
        <v>0</v>
      </c>
      <c r="X36" s="32">
        <f>IF(D11="",0,'Consumption Inputs'!$D$34)</f>
        <v>0</v>
      </c>
      <c r="Y36" s="32">
        <f>IF(D11="",0,'Consumption Inputs'!$F$34)</f>
        <v>0</v>
      </c>
      <c r="Z36" s="32">
        <f>IF(D11="",0,'Consumption Inputs'!$B$38)</f>
        <v>0</v>
      </c>
      <c r="AA36" s="32">
        <f>IF(D11="",0,'Consumption Inputs'!$D$38)</f>
        <v>0</v>
      </c>
      <c r="AB36" s="31">
        <f>IF(D11="",0,'Consumption Inputs'!$F$38)</f>
        <v>0</v>
      </c>
      <c r="AC36" s="31">
        <f>IF(D11="",0,VLOOKUP($N11,'Consumption Inputs'!$A$40:$I$117,8))</f>
        <v>0</v>
      </c>
      <c r="AD36" s="31">
        <f>IF(D11="",0,VLOOKUP($N11,'Consumption Inputs'!$A$40:$I$117,9))</f>
        <v>0</v>
      </c>
      <c r="AE36" s="34">
        <f>IF(D11="",0,'Consumption Inputs'!$B$18)</f>
        <v>0</v>
      </c>
    </row>
    <row r="37" spans="1:31" ht="20.100000000000001" hidden="1" customHeight="1" x14ac:dyDescent="0.2">
      <c r="A37" s="39">
        <f t="shared" si="10"/>
        <v>8</v>
      </c>
      <c r="B37" s="31">
        <f>IF(D12="",0,VLOOKUP($N12,'Consumption Inputs'!$A$40:$I$117,2))</f>
        <v>0</v>
      </c>
      <c r="C37" s="31">
        <f>IF(D12="",0,VLOOKUP($N12,'Consumption Inputs'!$A$40:$I$117,4))</f>
        <v>0</v>
      </c>
      <c r="D37" s="31">
        <f>IF(D12="",0,VLOOKUP($N12,'Consumption Inputs'!$A$40:$I$117,6))</f>
        <v>0</v>
      </c>
      <c r="E37" s="31">
        <f>IF(D12="",0,VLOOKUP($N12,'Consumption Inputs'!$A$40:$I$117,3))</f>
        <v>0</v>
      </c>
      <c r="F37" s="31">
        <f>IF(D12="",0,VLOOKUP($N12,'Consumption Inputs'!$A$40:$I$117,5))</f>
        <v>0</v>
      </c>
      <c r="G37" s="31">
        <f>IF(D12="",0,VLOOKUP($N12,'Consumption Inputs'!$A$40:$I$117,7))</f>
        <v>0</v>
      </c>
      <c r="H37" s="32">
        <f>IF(D12="",0,'Consumption Inputs'!$B$36)</f>
        <v>0</v>
      </c>
      <c r="I37" s="32">
        <f>IF(D12="",0,'Consumption Inputs'!$D$36)</f>
        <v>0</v>
      </c>
      <c r="J37" s="32">
        <f>IF(D12="",0,'Consumption Inputs'!$F$36)</f>
        <v>0</v>
      </c>
      <c r="K37" s="32">
        <f>IF(D12="",0,'Consumption Inputs'!$B$37)</f>
        <v>0</v>
      </c>
      <c r="L37" s="32">
        <f>IF(D12="",0,'Consumption Inputs'!$D$37)</f>
        <v>0</v>
      </c>
      <c r="M37" s="32">
        <f>IF(D12="",0,'Consumption Inputs'!$F$37)</f>
        <v>0</v>
      </c>
      <c r="N37" s="32">
        <f>IF(D12="",0,'Consumption Inputs'!$B$42)</f>
        <v>0</v>
      </c>
      <c r="O37" s="32">
        <f>IF(D12="",0,'Consumption Inputs'!$D$42)</f>
        <v>0</v>
      </c>
      <c r="P37" s="32">
        <f>IF(D12="",0,'Consumption Inputs'!$F$42)</f>
        <v>0</v>
      </c>
      <c r="Q37" s="32">
        <f>IF(D12="",0,'Consumption Inputs'!$B$34)</f>
        <v>0</v>
      </c>
      <c r="R37" s="32">
        <f>IF(D12="",0,'Consumption Inputs'!$D$34)</f>
        <v>0</v>
      </c>
      <c r="S37" s="32">
        <f>IF(D12="",0,'Consumption Inputs'!$F$34)</f>
        <v>0</v>
      </c>
      <c r="T37" s="32">
        <f>IF(D12="",0,'Consumption Inputs'!$B$35)</f>
        <v>0</v>
      </c>
      <c r="U37" s="32">
        <f>IF(D12="",0,'Consumption Inputs'!$D$35)</f>
        <v>0</v>
      </c>
      <c r="V37" s="32">
        <f>IF(D12="",0,'Consumption Inputs'!$F$35)</f>
        <v>0</v>
      </c>
      <c r="W37" s="32">
        <f>IF(D12="",0,'Consumption Inputs'!$B$34)</f>
        <v>0</v>
      </c>
      <c r="X37" s="32">
        <f>IF(D12="",0,'Consumption Inputs'!$D$34)</f>
        <v>0</v>
      </c>
      <c r="Y37" s="32">
        <f>IF(D12="",0,'Consumption Inputs'!$F$34)</f>
        <v>0</v>
      </c>
      <c r="Z37" s="32">
        <f>IF(D12="",0,'Consumption Inputs'!$B$38)</f>
        <v>0</v>
      </c>
      <c r="AA37" s="32">
        <f>IF(D12="",0,'Consumption Inputs'!$D$38)</f>
        <v>0</v>
      </c>
      <c r="AB37" s="31">
        <f>IF(D12="",0,'Consumption Inputs'!$F$38)</f>
        <v>0</v>
      </c>
      <c r="AC37" s="31">
        <f>IF(D12="",0,VLOOKUP($N12,'Consumption Inputs'!$A$40:$I$117,8))</f>
        <v>0</v>
      </c>
      <c r="AD37" s="31">
        <f>IF(D12="",0,VLOOKUP($N12,'Consumption Inputs'!$A$40:$I$117,9))</f>
        <v>0</v>
      </c>
      <c r="AE37" s="34">
        <f>IF(D12="",0,'Consumption Inputs'!$B$18)</f>
        <v>0</v>
      </c>
    </row>
    <row r="38" spans="1:31" ht="20.100000000000001" hidden="1" customHeight="1" x14ac:dyDescent="0.2">
      <c r="A38" s="39">
        <f t="shared" si="10"/>
        <v>9</v>
      </c>
      <c r="B38" s="31">
        <f>IF(D13="",0,VLOOKUP($N13,'Consumption Inputs'!$A$40:$I$117,2))</f>
        <v>0</v>
      </c>
      <c r="C38" s="31">
        <f>IF(D13="",0,VLOOKUP($N13,'Consumption Inputs'!$A$40:$I$117,4))</f>
        <v>0</v>
      </c>
      <c r="D38" s="31">
        <f>IF(D13="",0,VLOOKUP($N13,'Consumption Inputs'!$A$40:$I$117,6))</f>
        <v>0</v>
      </c>
      <c r="E38" s="31">
        <f>IF(D13="",0,VLOOKUP($N13,'Consumption Inputs'!$A$40:$I$117,3))</f>
        <v>0</v>
      </c>
      <c r="F38" s="31">
        <f>IF(D13="",0,VLOOKUP($N13,'Consumption Inputs'!$A$40:$I$117,5))</f>
        <v>0</v>
      </c>
      <c r="G38" s="31">
        <f>IF(D13="",0,VLOOKUP($N13,'Consumption Inputs'!$A$40:$I$117,7))</f>
        <v>0</v>
      </c>
      <c r="H38" s="32">
        <f>IF(D13="",0,'Consumption Inputs'!$B$36)</f>
        <v>0</v>
      </c>
      <c r="I38" s="32">
        <f>IF(D13="",0,'Consumption Inputs'!$D$36)</f>
        <v>0</v>
      </c>
      <c r="J38" s="32">
        <f>IF(D13="",0,'Consumption Inputs'!$F$36)</f>
        <v>0</v>
      </c>
      <c r="K38" s="32">
        <f>IF(D13="",0,'Consumption Inputs'!$B$37)</f>
        <v>0</v>
      </c>
      <c r="L38" s="32">
        <f>IF(D13="",0,'Consumption Inputs'!$D$37)</f>
        <v>0</v>
      </c>
      <c r="M38" s="32">
        <f>IF(D13="",0,'Consumption Inputs'!$F$37)</f>
        <v>0</v>
      </c>
      <c r="N38" s="32">
        <f>IF(D13="",0,'Consumption Inputs'!$B$42)</f>
        <v>0</v>
      </c>
      <c r="O38" s="32">
        <f>IF(D13="",0,'Consumption Inputs'!$D$42)</f>
        <v>0</v>
      </c>
      <c r="P38" s="32">
        <f>IF(D13="",0,'Consumption Inputs'!$F$42)</f>
        <v>0</v>
      </c>
      <c r="Q38" s="32">
        <f>IF(D13="",0,'Consumption Inputs'!$B$34)</f>
        <v>0</v>
      </c>
      <c r="R38" s="32">
        <f>IF(D13="",0,'Consumption Inputs'!$D$34)</f>
        <v>0</v>
      </c>
      <c r="S38" s="32">
        <f>IF(D13="",0,'Consumption Inputs'!$F$34)</f>
        <v>0</v>
      </c>
      <c r="T38" s="32">
        <f>IF(D13="",0,'Consumption Inputs'!$B$35)</f>
        <v>0</v>
      </c>
      <c r="U38" s="32">
        <f>IF(D13="",0,'Consumption Inputs'!$D$35)</f>
        <v>0</v>
      </c>
      <c r="V38" s="32">
        <f>IF(D13="",0,'Consumption Inputs'!$F$35)</f>
        <v>0</v>
      </c>
      <c r="W38" s="32">
        <f>IF(D13="",0,'Consumption Inputs'!$B$34)</f>
        <v>0</v>
      </c>
      <c r="X38" s="32">
        <f>IF(D13="",0,'Consumption Inputs'!$D$34)</f>
        <v>0</v>
      </c>
      <c r="Y38" s="32">
        <f>IF(D13="",0,'Consumption Inputs'!$F$34)</f>
        <v>0</v>
      </c>
      <c r="Z38" s="32">
        <f>IF(D13="",0,'Consumption Inputs'!$B$38)</f>
        <v>0</v>
      </c>
      <c r="AA38" s="32">
        <f>IF(D13="",0,'Consumption Inputs'!$D$38)</f>
        <v>0</v>
      </c>
      <c r="AB38" s="31">
        <f>IF(D13="",0,'Consumption Inputs'!$F$38)</f>
        <v>0</v>
      </c>
      <c r="AC38" s="31">
        <f>IF(D13="",0,VLOOKUP($N13,'Consumption Inputs'!$A$40:$I$117,8))</f>
        <v>0</v>
      </c>
      <c r="AD38" s="31">
        <f>IF(D13="",0,VLOOKUP($N13,'Consumption Inputs'!$A$40:$I$117,9))</f>
        <v>0</v>
      </c>
      <c r="AE38" s="34">
        <f>IF(D13="",0,'Consumption Inputs'!$B$18)</f>
        <v>0</v>
      </c>
    </row>
    <row r="39" spans="1:31" ht="20.100000000000001" hidden="1" customHeight="1" x14ac:dyDescent="0.2">
      <c r="A39" s="39">
        <f t="shared" si="10"/>
        <v>10</v>
      </c>
      <c r="B39" s="31">
        <f>IF(D14="",0,VLOOKUP($N14,'Consumption Inputs'!$A$40:$I$117,2))</f>
        <v>0</v>
      </c>
      <c r="C39" s="31">
        <f>IF(D14="",0,VLOOKUP($N14,'Consumption Inputs'!$A$40:$I$117,4))</f>
        <v>0</v>
      </c>
      <c r="D39" s="31">
        <f>IF(D14="",0,VLOOKUP($N14,'Consumption Inputs'!$A$40:$I$117,6))</f>
        <v>0</v>
      </c>
      <c r="E39" s="31">
        <f>IF(D14="",0,VLOOKUP($N14,'Consumption Inputs'!$A$40:$I$117,3))</f>
        <v>0</v>
      </c>
      <c r="F39" s="31">
        <f>IF(D14="",0,VLOOKUP($N14,'Consumption Inputs'!$A$40:$I$117,5))</f>
        <v>0</v>
      </c>
      <c r="G39" s="31">
        <f>IF(D14="",0,VLOOKUP($N14,'Consumption Inputs'!$A$40:$I$117,7))</f>
        <v>0</v>
      </c>
      <c r="H39" s="32">
        <f>IF(D14="",0,'Consumption Inputs'!$B$36)</f>
        <v>0</v>
      </c>
      <c r="I39" s="32">
        <f>IF(D14="",0,'Consumption Inputs'!$D$36)</f>
        <v>0</v>
      </c>
      <c r="J39" s="32">
        <f>IF(D14="",0,'Consumption Inputs'!$F$36)</f>
        <v>0</v>
      </c>
      <c r="K39" s="32">
        <f>IF(D14="",0,'Consumption Inputs'!$B$37)</f>
        <v>0</v>
      </c>
      <c r="L39" s="32">
        <f>IF(D14="",0,'Consumption Inputs'!$D$37)</f>
        <v>0</v>
      </c>
      <c r="M39" s="32">
        <f>IF(D14="",0,'Consumption Inputs'!$F$37)</f>
        <v>0</v>
      </c>
      <c r="N39" s="32">
        <f>IF(D14="",0,'Consumption Inputs'!$B$42)</f>
        <v>0</v>
      </c>
      <c r="O39" s="32">
        <f>IF(D14="",0,'Consumption Inputs'!$D$42)</f>
        <v>0</v>
      </c>
      <c r="P39" s="32">
        <f>IF(D14="",0,'Consumption Inputs'!$F$42)</f>
        <v>0</v>
      </c>
      <c r="Q39" s="32">
        <f>IF(D14="",0,'Consumption Inputs'!$B$34)</f>
        <v>0</v>
      </c>
      <c r="R39" s="32">
        <f>IF(D14="",0,'Consumption Inputs'!$D$34)</f>
        <v>0</v>
      </c>
      <c r="S39" s="32">
        <f>IF(D14="",0,'Consumption Inputs'!$F$34)</f>
        <v>0</v>
      </c>
      <c r="T39" s="32">
        <f>IF(D14="",0,'Consumption Inputs'!$B$35)</f>
        <v>0</v>
      </c>
      <c r="U39" s="32">
        <f>IF(D14="",0,'Consumption Inputs'!$D$35)</f>
        <v>0</v>
      </c>
      <c r="V39" s="32">
        <f>IF(D14="",0,'Consumption Inputs'!$F$35)</f>
        <v>0</v>
      </c>
      <c r="W39" s="32">
        <f>IF(D14="",0,'Consumption Inputs'!$B$34)</f>
        <v>0</v>
      </c>
      <c r="X39" s="32">
        <f>IF(D14="",0,'Consumption Inputs'!$D$34)</f>
        <v>0</v>
      </c>
      <c r="Y39" s="32">
        <f>IF(D14="",0,'Consumption Inputs'!$F$34)</f>
        <v>0</v>
      </c>
      <c r="Z39" s="32">
        <f>IF(D14="",0,'Consumption Inputs'!$B$38)</f>
        <v>0</v>
      </c>
      <c r="AA39" s="32">
        <f>IF(D14="",0,'Consumption Inputs'!$D$38)</f>
        <v>0</v>
      </c>
      <c r="AB39" s="31">
        <f>IF(D14="",0,'Consumption Inputs'!$F$38)</f>
        <v>0</v>
      </c>
      <c r="AC39" s="31">
        <f>IF(D14="",0,VLOOKUP($N14,'Consumption Inputs'!$A$40:$I$117,8))</f>
        <v>0</v>
      </c>
      <c r="AD39" s="31">
        <f>IF(D14="",0,VLOOKUP($N14,'Consumption Inputs'!$A$40:$I$117,9))</f>
        <v>0</v>
      </c>
      <c r="AE39" s="34">
        <f>IF(D14="",0,'Consumption Inputs'!$B$18)</f>
        <v>0</v>
      </c>
    </row>
    <row r="40" spans="1:31" ht="20.100000000000001" hidden="1" customHeight="1" x14ac:dyDescent="0.2">
      <c r="A40" s="39">
        <f t="shared" si="10"/>
        <v>11</v>
      </c>
      <c r="B40" s="31">
        <f>IF(D15="",0,VLOOKUP($N15,'Consumption Inputs'!$A$40:$I$117,2))</f>
        <v>0</v>
      </c>
      <c r="C40" s="31">
        <f>IF(D15="",0,VLOOKUP($N15,'Consumption Inputs'!$A$40:$I$117,4))</f>
        <v>0</v>
      </c>
      <c r="D40" s="31">
        <f>IF(D15="",0,VLOOKUP($N15,'Consumption Inputs'!$A$40:$I$117,6))</f>
        <v>0</v>
      </c>
      <c r="E40" s="31">
        <f>IF(D15="",0,VLOOKUP($N15,'Consumption Inputs'!$A$40:$I$117,3))</f>
        <v>0</v>
      </c>
      <c r="F40" s="31">
        <f>IF(D15="",0,VLOOKUP($N15,'Consumption Inputs'!$A$40:$I$117,5))</f>
        <v>0</v>
      </c>
      <c r="G40" s="31">
        <f>IF(D15="",0,VLOOKUP($N15,'Consumption Inputs'!$A$40:$I$117,7))</f>
        <v>0</v>
      </c>
      <c r="H40" s="32">
        <f>IF(D15="",0,'Consumption Inputs'!$B$36)</f>
        <v>0</v>
      </c>
      <c r="I40" s="32">
        <f>IF(D15="",0,'Consumption Inputs'!$D$36)</f>
        <v>0</v>
      </c>
      <c r="J40" s="32">
        <f>IF(D15="",0,'Consumption Inputs'!$F$36)</f>
        <v>0</v>
      </c>
      <c r="K40" s="32">
        <f>IF(D15="",0,'Consumption Inputs'!$B$37)</f>
        <v>0</v>
      </c>
      <c r="L40" s="32">
        <f>IF(D15="",0,'Consumption Inputs'!$D$37)</f>
        <v>0</v>
      </c>
      <c r="M40" s="32">
        <f>IF(D15="",0,'Consumption Inputs'!$F$37)</f>
        <v>0</v>
      </c>
      <c r="N40" s="32">
        <f>IF(D15="",0,'Consumption Inputs'!$B$42)</f>
        <v>0</v>
      </c>
      <c r="O40" s="32">
        <f>IF(D15="",0,'Consumption Inputs'!$D$42)</f>
        <v>0</v>
      </c>
      <c r="P40" s="32">
        <f>IF(D15="",0,'Consumption Inputs'!$F$42)</f>
        <v>0</v>
      </c>
      <c r="Q40" s="32">
        <f>IF(D15="",0,'Consumption Inputs'!$B$34)</f>
        <v>0</v>
      </c>
      <c r="R40" s="32">
        <f>IF(D15="",0,'Consumption Inputs'!$D$34)</f>
        <v>0</v>
      </c>
      <c r="S40" s="32">
        <f>IF(D15="",0,'Consumption Inputs'!$F$34)</f>
        <v>0</v>
      </c>
      <c r="T40" s="32">
        <f>IF(D15="",0,'Consumption Inputs'!$B$35)</f>
        <v>0</v>
      </c>
      <c r="U40" s="32">
        <f>IF(D15="",0,'Consumption Inputs'!$D$35)</f>
        <v>0</v>
      </c>
      <c r="V40" s="32">
        <f>IF(D15="",0,'Consumption Inputs'!$F$35)</f>
        <v>0</v>
      </c>
      <c r="W40" s="32">
        <f>IF(D15="",0,'Consumption Inputs'!$B$34)</f>
        <v>0</v>
      </c>
      <c r="X40" s="32">
        <f>IF(D15="",0,'Consumption Inputs'!$D$34)</f>
        <v>0</v>
      </c>
      <c r="Y40" s="32">
        <f>IF(D15="",0,'Consumption Inputs'!$F$34)</f>
        <v>0</v>
      </c>
      <c r="Z40" s="32">
        <f>IF(D15="",0,'Consumption Inputs'!$B$38)</f>
        <v>0</v>
      </c>
      <c r="AA40" s="32">
        <f>IF(D15="",0,'Consumption Inputs'!$D$38)</f>
        <v>0</v>
      </c>
      <c r="AB40" s="31">
        <f>IF(D15="",0,'Consumption Inputs'!$F$38)</f>
        <v>0</v>
      </c>
      <c r="AC40" s="31">
        <f>IF(D15="",0,VLOOKUP($N15,'Consumption Inputs'!$A$40:$I$117,8))</f>
        <v>0</v>
      </c>
      <c r="AD40" s="31">
        <f>IF(D15="",0,VLOOKUP($N15,'Consumption Inputs'!$A$40:$I$117,9))</f>
        <v>0</v>
      </c>
      <c r="AE40" s="34">
        <f>IF(D15="",0,'Consumption Inputs'!$B$18)</f>
        <v>0</v>
      </c>
    </row>
    <row r="41" spans="1:31" ht="20.100000000000001" hidden="1" customHeight="1" x14ac:dyDescent="0.2">
      <c r="A41" s="39">
        <f t="shared" si="10"/>
        <v>12</v>
      </c>
      <c r="B41" s="31">
        <f>IF(D16="",0,VLOOKUP($N16,'Consumption Inputs'!$A$40:$I$117,2))</f>
        <v>0</v>
      </c>
      <c r="C41" s="31">
        <f>IF(D16="",0,VLOOKUP($N16,'Consumption Inputs'!$A$40:$I$117,4))</f>
        <v>0</v>
      </c>
      <c r="D41" s="31">
        <f>IF(D16="",0,VLOOKUP($N16,'Consumption Inputs'!$A$40:$I$117,6))</f>
        <v>0</v>
      </c>
      <c r="E41" s="31">
        <f>IF(D16="",0,VLOOKUP($N16,'Consumption Inputs'!$A$40:$I$117,3))</f>
        <v>0</v>
      </c>
      <c r="F41" s="31">
        <f>IF(D16="",0,VLOOKUP($N16,'Consumption Inputs'!$A$40:$I$117,5))</f>
        <v>0</v>
      </c>
      <c r="G41" s="31">
        <f>IF(D16="",0,VLOOKUP($N16,'Consumption Inputs'!$A$40:$I$117,7))</f>
        <v>0</v>
      </c>
      <c r="H41" s="32">
        <f>IF(D16="",0,'Consumption Inputs'!$B$36)</f>
        <v>0</v>
      </c>
      <c r="I41" s="32">
        <f>IF(D16="",0,'Consumption Inputs'!$D$36)</f>
        <v>0</v>
      </c>
      <c r="J41" s="32">
        <f>IF(D16="",0,'Consumption Inputs'!$F$36)</f>
        <v>0</v>
      </c>
      <c r="K41" s="32">
        <f>IF(D16="",0,'Consumption Inputs'!$B$37)</f>
        <v>0</v>
      </c>
      <c r="L41" s="32">
        <f>IF(D16="",0,'Consumption Inputs'!$D$37)</f>
        <v>0</v>
      </c>
      <c r="M41" s="32">
        <f>IF(D16="",0,'Consumption Inputs'!$F$37)</f>
        <v>0</v>
      </c>
      <c r="N41" s="32">
        <f>IF(D16="",0,'Consumption Inputs'!$B$42)</f>
        <v>0</v>
      </c>
      <c r="O41" s="32">
        <f>IF(D16="",0,'Consumption Inputs'!$D$42)</f>
        <v>0</v>
      </c>
      <c r="P41" s="32">
        <f>IF(D16="",0,'Consumption Inputs'!$F$42)</f>
        <v>0</v>
      </c>
      <c r="Q41" s="32">
        <f>IF(D16="",0,'Consumption Inputs'!$B$34)</f>
        <v>0</v>
      </c>
      <c r="R41" s="32">
        <f>IF(D16="",0,'Consumption Inputs'!$D$34)</f>
        <v>0</v>
      </c>
      <c r="S41" s="32">
        <f>IF(D16="",0,'Consumption Inputs'!$F$34)</f>
        <v>0</v>
      </c>
      <c r="T41" s="32">
        <f>IF(D16="",0,'Consumption Inputs'!$B$35)</f>
        <v>0</v>
      </c>
      <c r="U41" s="32">
        <f>IF(D16="",0,'Consumption Inputs'!$D$35)</f>
        <v>0</v>
      </c>
      <c r="V41" s="32">
        <f>IF(D16="",0,'Consumption Inputs'!$F$35)</f>
        <v>0</v>
      </c>
      <c r="W41" s="32">
        <f>IF(D16="",0,'Consumption Inputs'!$B$34)</f>
        <v>0</v>
      </c>
      <c r="X41" s="32">
        <f>IF(D16="",0,'Consumption Inputs'!$D$34)</f>
        <v>0</v>
      </c>
      <c r="Y41" s="32">
        <f>IF(D16="",0,'Consumption Inputs'!$F$34)</f>
        <v>0</v>
      </c>
      <c r="Z41" s="32">
        <f>IF(D16="",0,'Consumption Inputs'!$B$38)</f>
        <v>0</v>
      </c>
      <c r="AA41" s="32">
        <f>IF(D16="",0,'Consumption Inputs'!$D$38)</f>
        <v>0</v>
      </c>
      <c r="AB41" s="31">
        <f>IF(D16="",0,'Consumption Inputs'!$F$38)</f>
        <v>0</v>
      </c>
      <c r="AC41" s="31">
        <f>IF(D16="",0,VLOOKUP($N16,'Consumption Inputs'!$A$40:$I$117,8))</f>
        <v>0</v>
      </c>
      <c r="AD41" s="31">
        <f>IF(D16="",0,VLOOKUP($N16,'Consumption Inputs'!$A$40:$I$117,9))</f>
        <v>0</v>
      </c>
      <c r="AE41" s="34">
        <f>IF(D16="",0,'Consumption Inputs'!$B$18)</f>
        <v>0</v>
      </c>
    </row>
    <row r="42" spans="1:31" ht="20.100000000000001" hidden="1" customHeight="1" x14ac:dyDescent="0.2">
      <c r="A42" s="39">
        <f t="shared" si="10"/>
        <v>13</v>
      </c>
      <c r="B42" s="31">
        <f>IF(D17="",0,VLOOKUP($N17,'Consumption Inputs'!$A$40:$I$117,2))</f>
        <v>0</v>
      </c>
      <c r="C42" s="31">
        <f>IF(D17="",0,VLOOKUP($N17,'Consumption Inputs'!$A$40:$I$117,4))</f>
        <v>0</v>
      </c>
      <c r="D42" s="31">
        <f>IF(D17="",0,VLOOKUP($N17,'Consumption Inputs'!$A$40:$I$117,6))</f>
        <v>0</v>
      </c>
      <c r="E42" s="31">
        <f>IF(D17="",0,VLOOKUP($N17,'Consumption Inputs'!$A$40:$I$117,3))</f>
        <v>0</v>
      </c>
      <c r="F42" s="31">
        <f>IF(D17="",0,VLOOKUP($N17,'Consumption Inputs'!$A$40:$I$117,5))</f>
        <v>0</v>
      </c>
      <c r="G42" s="31">
        <f>IF(D17="",0,VLOOKUP($N17,'Consumption Inputs'!$A$40:$I$117,7))</f>
        <v>0</v>
      </c>
      <c r="H42" s="32">
        <f>IF(D17="",0,'Consumption Inputs'!$B$36)</f>
        <v>0</v>
      </c>
      <c r="I42" s="32">
        <f>IF(D17="",0,'Consumption Inputs'!$D$36)</f>
        <v>0</v>
      </c>
      <c r="J42" s="32">
        <f>IF(D17="",0,'Consumption Inputs'!$F$36)</f>
        <v>0</v>
      </c>
      <c r="K42" s="32">
        <f>IF(D17="",0,'Consumption Inputs'!$B$37)</f>
        <v>0</v>
      </c>
      <c r="L42" s="32">
        <f>IF(D17="",0,'Consumption Inputs'!$D$37)</f>
        <v>0</v>
      </c>
      <c r="M42" s="32">
        <f>IF(D17="",0,'Consumption Inputs'!$F$37)</f>
        <v>0</v>
      </c>
      <c r="N42" s="32">
        <f>IF(D17="",0,'Consumption Inputs'!$B$42)</f>
        <v>0</v>
      </c>
      <c r="O42" s="32">
        <f>IF(D17="",0,'Consumption Inputs'!$D$42)</f>
        <v>0</v>
      </c>
      <c r="P42" s="32">
        <f>IF(D17="",0,'Consumption Inputs'!$F$42)</f>
        <v>0</v>
      </c>
      <c r="Q42" s="32">
        <f>IF(D17="",0,'Consumption Inputs'!$B$34)</f>
        <v>0</v>
      </c>
      <c r="R42" s="32">
        <f>IF(D17="",0,'Consumption Inputs'!$D$34)</f>
        <v>0</v>
      </c>
      <c r="S42" s="32">
        <f>IF(D17="",0,'Consumption Inputs'!$F$34)</f>
        <v>0</v>
      </c>
      <c r="T42" s="32">
        <f>IF(D17="",0,'Consumption Inputs'!$B$35)</f>
        <v>0</v>
      </c>
      <c r="U42" s="32">
        <f>IF(D17="",0,'Consumption Inputs'!$D$35)</f>
        <v>0</v>
      </c>
      <c r="V42" s="32">
        <f>IF(D17="",0,'Consumption Inputs'!$F$35)</f>
        <v>0</v>
      </c>
      <c r="W42" s="32">
        <f>IF(D17="",0,'Consumption Inputs'!$B$34)</f>
        <v>0</v>
      </c>
      <c r="X42" s="32">
        <f>IF(D17="",0,'Consumption Inputs'!$D$34)</f>
        <v>0</v>
      </c>
      <c r="Y42" s="32">
        <f>IF(D17="",0,'Consumption Inputs'!$F$34)</f>
        <v>0</v>
      </c>
      <c r="Z42" s="32">
        <f>IF(D17="",0,'Consumption Inputs'!$B$38)</f>
        <v>0</v>
      </c>
      <c r="AA42" s="32">
        <f>IF(D17="",0,'Consumption Inputs'!$D$38)</f>
        <v>0</v>
      </c>
      <c r="AB42" s="31">
        <f>IF(D17="",0,'Consumption Inputs'!$F$38)</f>
        <v>0</v>
      </c>
      <c r="AC42" s="31">
        <f>IF(D17="",0,VLOOKUP($N17,'Consumption Inputs'!$A$40:$I$117,8))</f>
        <v>0</v>
      </c>
      <c r="AD42" s="31">
        <f>IF(D17="",0,VLOOKUP($N17,'Consumption Inputs'!$A$40:$I$117,9))</f>
        <v>0</v>
      </c>
      <c r="AE42" s="34">
        <f>IF(D17="",0,'Consumption Inputs'!$B$18)</f>
        <v>0</v>
      </c>
    </row>
    <row r="43" spans="1:31" ht="20.100000000000001" hidden="1" customHeight="1" x14ac:dyDescent="0.2">
      <c r="A43" s="39">
        <f t="shared" si="10"/>
        <v>14</v>
      </c>
      <c r="B43" s="31">
        <f>IF(D18="",0,VLOOKUP($N18,'Consumption Inputs'!$A$40:$I$117,2))</f>
        <v>0</v>
      </c>
      <c r="C43" s="31">
        <f>IF(D18="",0,VLOOKUP($N18,'Consumption Inputs'!$A$40:$I$117,4))</f>
        <v>0</v>
      </c>
      <c r="D43" s="31">
        <f>IF(D18="",0,VLOOKUP($N18,'Consumption Inputs'!$A$40:$I$117,6))</f>
        <v>0</v>
      </c>
      <c r="E43" s="31">
        <f>IF(D18="",0,VLOOKUP($N18,'Consumption Inputs'!$A$40:$I$117,3))</f>
        <v>0</v>
      </c>
      <c r="F43" s="31">
        <f>IF(D18="",0,VLOOKUP($N18,'Consumption Inputs'!$A$40:$I$117,5))</f>
        <v>0</v>
      </c>
      <c r="G43" s="31">
        <f>IF(D18="",0,VLOOKUP($N18,'Consumption Inputs'!$A$40:$I$117,7))</f>
        <v>0</v>
      </c>
      <c r="H43" s="32">
        <f>IF(D18="",0,'Consumption Inputs'!$B$36)</f>
        <v>0</v>
      </c>
      <c r="I43" s="32">
        <f>IF(D18="",0,'Consumption Inputs'!$D$36)</f>
        <v>0</v>
      </c>
      <c r="J43" s="32">
        <f>IF(D18="",0,'Consumption Inputs'!$F$36)</f>
        <v>0</v>
      </c>
      <c r="K43" s="32">
        <f>IF(D18="",0,'Consumption Inputs'!$B$37)</f>
        <v>0</v>
      </c>
      <c r="L43" s="32">
        <f>IF(D18="",0,'Consumption Inputs'!$D$37)</f>
        <v>0</v>
      </c>
      <c r="M43" s="32">
        <f>IF(D18="",0,'Consumption Inputs'!$F$37)</f>
        <v>0</v>
      </c>
      <c r="N43" s="32">
        <f>IF(D18="",0,'Consumption Inputs'!$B$42)</f>
        <v>0</v>
      </c>
      <c r="O43" s="32">
        <f>IF(D18="",0,'Consumption Inputs'!$D$42)</f>
        <v>0</v>
      </c>
      <c r="P43" s="32">
        <f>IF(D18="",0,'Consumption Inputs'!$F$42)</f>
        <v>0</v>
      </c>
      <c r="Q43" s="32">
        <f>IF(D18="",0,'Consumption Inputs'!$B$34)</f>
        <v>0</v>
      </c>
      <c r="R43" s="32">
        <f>IF(D18="",0,'Consumption Inputs'!$D$34)</f>
        <v>0</v>
      </c>
      <c r="S43" s="32">
        <f>IF(D18="",0,'Consumption Inputs'!$F$34)</f>
        <v>0</v>
      </c>
      <c r="T43" s="32">
        <f>IF(D18="",0,'Consumption Inputs'!$B$35)</f>
        <v>0</v>
      </c>
      <c r="U43" s="32">
        <f>IF(D18="",0,'Consumption Inputs'!$D$35)</f>
        <v>0</v>
      </c>
      <c r="V43" s="32">
        <f>IF(D18="",0,'Consumption Inputs'!$F$35)</f>
        <v>0</v>
      </c>
      <c r="W43" s="32">
        <f>IF(D18="",0,'Consumption Inputs'!$B$34)</f>
        <v>0</v>
      </c>
      <c r="X43" s="32">
        <f>IF(D18="",0,'Consumption Inputs'!$D$34)</f>
        <v>0</v>
      </c>
      <c r="Y43" s="32">
        <f>IF(D18="",0,'Consumption Inputs'!$F$34)</f>
        <v>0</v>
      </c>
      <c r="Z43" s="32">
        <f>IF(D18="",0,'Consumption Inputs'!$B$38)</f>
        <v>0</v>
      </c>
      <c r="AA43" s="32">
        <f>IF(D18="",0,'Consumption Inputs'!$D$38)</f>
        <v>0</v>
      </c>
      <c r="AB43" s="31">
        <f>IF(D18="",0,'Consumption Inputs'!$F$38)</f>
        <v>0</v>
      </c>
      <c r="AC43" s="31">
        <f>IF(D18="",0,VLOOKUP($N18,'Consumption Inputs'!$A$40:$I$117,8))</f>
        <v>0</v>
      </c>
      <c r="AD43" s="31">
        <f>IF(D18="",0,VLOOKUP($N18,'Consumption Inputs'!$A$40:$I$117,9))</f>
        <v>0</v>
      </c>
      <c r="AE43" s="34">
        <f>IF(D18="",0,'Consumption Inputs'!$B$18)</f>
        <v>0</v>
      </c>
    </row>
    <row r="44" spans="1:31" ht="20.100000000000001" hidden="1" customHeight="1" x14ac:dyDescent="0.2">
      <c r="A44" s="39">
        <f t="shared" si="10"/>
        <v>15</v>
      </c>
      <c r="B44" s="31">
        <f>IF(D19="",0,VLOOKUP($N19,'Consumption Inputs'!$A$40:$I$117,2))</f>
        <v>0</v>
      </c>
      <c r="C44" s="31">
        <f>IF(D19="",0,VLOOKUP($N19,'Consumption Inputs'!$A$40:$I$117,4))</f>
        <v>0</v>
      </c>
      <c r="D44" s="31">
        <f>IF(D19="",0,VLOOKUP($N19,'Consumption Inputs'!$A$40:$I$117,6))</f>
        <v>0</v>
      </c>
      <c r="E44" s="31">
        <f>IF(D19="",0,VLOOKUP($N19,'Consumption Inputs'!$A$40:$I$117,3))</f>
        <v>0</v>
      </c>
      <c r="F44" s="31">
        <f>IF(D19="",0,VLOOKUP($N19,'Consumption Inputs'!$A$40:$I$117,5))</f>
        <v>0</v>
      </c>
      <c r="G44" s="31">
        <f>IF(D19="",0,VLOOKUP($N19,'Consumption Inputs'!$A$40:$I$117,7))</f>
        <v>0</v>
      </c>
      <c r="H44" s="32">
        <f>IF(D19="",0,'Consumption Inputs'!$B$36)</f>
        <v>0</v>
      </c>
      <c r="I44" s="32">
        <f>IF(D19="",0,'Consumption Inputs'!$D$36)</f>
        <v>0</v>
      </c>
      <c r="J44" s="32">
        <f>IF(D19="",0,'Consumption Inputs'!$F$36)</f>
        <v>0</v>
      </c>
      <c r="K44" s="32">
        <f>IF(D19="",0,'Consumption Inputs'!$B$37)</f>
        <v>0</v>
      </c>
      <c r="L44" s="32">
        <f>IF(D19="",0,'Consumption Inputs'!$D$37)</f>
        <v>0</v>
      </c>
      <c r="M44" s="32">
        <f>IF(D19="",0,'Consumption Inputs'!$F$37)</f>
        <v>0</v>
      </c>
      <c r="N44" s="32">
        <f>IF(D19="",0,'Consumption Inputs'!$B$42)</f>
        <v>0</v>
      </c>
      <c r="O44" s="32">
        <f>IF(D19="",0,'Consumption Inputs'!$D$42)</f>
        <v>0</v>
      </c>
      <c r="P44" s="32">
        <f>IF(D19="",0,'Consumption Inputs'!$F$42)</f>
        <v>0</v>
      </c>
      <c r="Q44" s="32">
        <f>IF(D19="",0,'Consumption Inputs'!$B$34)</f>
        <v>0</v>
      </c>
      <c r="R44" s="32">
        <f>IF(D19="",0,'Consumption Inputs'!$D$34)</f>
        <v>0</v>
      </c>
      <c r="S44" s="32">
        <f>IF(D19="",0,'Consumption Inputs'!$F$34)</f>
        <v>0</v>
      </c>
      <c r="T44" s="32">
        <f>IF(D19="",0,'Consumption Inputs'!$B$35)</f>
        <v>0</v>
      </c>
      <c r="U44" s="32">
        <f>IF(D19="",0,'Consumption Inputs'!$D$35)</f>
        <v>0</v>
      </c>
      <c r="V44" s="32">
        <f>IF(D19="",0,'Consumption Inputs'!$F$35)</f>
        <v>0</v>
      </c>
      <c r="W44" s="32">
        <f>IF(D19="",0,'Consumption Inputs'!$B$34)</f>
        <v>0</v>
      </c>
      <c r="X44" s="32">
        <f>IF(D19="",0,'Consumption Inputs'!$D$34)</f>
        <v>0</v>
      </c>
      <c r="Y44" s="32">
        <f>IF(D19="",0,'Consumption Inputs'!$F$34)</f>
        <v>0</v>
      </c>
      <c r="Z44" s="32">
        <f>IF(D19="",0,'Consumption Inputs'!$B$38)</f>
        <v>0</v>
      </c>
      <c r="AA44" s="32">
        <f>IF(D19="",0,'Consumption Inputs'!$D$38)</f>
        <v>0</v>
      </c>
      <c r="AB44" s="31">
        <f>IF(D19="",0,'Consumption Inputs'!$F$38)</f>
        <v>0</v>
      </c>
      <c r="AC44" s="31">
        <f>IF(D19="",0,VLOOKUP($N19,'Consumption Inputs'!$A$40:$I$117,8))</f>
        <v>0</v>
      </c>
      <c r="AD44" s="31">
        <f>IF(D19="",0,VLOOKUP($N19,'Consumption Inputs'!$A$40:$I$117,9))</f>
        <v>0</v>
      </c>
      <c r="AE44" s="34">
        <f>IF(D19="",0,'Consumption Inputs'!$B$18)</f>
        <v>0</v>
      </c>
    </row>
    <row r="45" spans="1:31" ht="20.100000000000001" hidden="1" customHeight="1" x14ac:dyDescent="0.2">
      <c r="A45" s="39">
        <f t="shared" si="10"/>
        <v>16</v>
      </c>
      <c r="B45" s="31">
        <f>IF(D20="",0,VLOOKUP($N20,'Consumption Inputs'!$A$40:$I$117,2))</f>
        <v>0</v>
      </c>
      <c r="C45" s="31">
        <f>IF(D20="",0,VLOOKUP($N20,'Consumption Inputs'!$A$40:$I$117,4))</f>
        <v>0</v>
      </c>
      <c r="D45" s="31">
        <f>IF(D20="",0,VLOOKUP($N20,'Consumption Inputs'!$A$40:$I$117,6))</f>
        <v>0</v>
      </c>
      <c r="E45" s="31">
        <f>IF(D20="",0,VLOOKUP($N20,'Consumption Inputs'!$A$40:$I$117,3))</f>
        <v>0</v>
      </c>
      <c r="F45" s="31">
        <f>IF(D20="",0,VLOOKUP($N20,'Consumption Inputs'!$A$40:$I$117,5))</f>
        <v>0</v>
      </c>
      <c r="G45" s="31">
        <f>IF(D20="",0,VLOOKUP($N20,'Consumption Inputs'!$A$40:$I$117,7))</f>
        <v>0</v>
      </c>
      <c r="H45" s="32">
        <f>IF(D20="",0,'Consumption Inputs'!$B$36)</f>
        <v>0</v>
      </c>
      <c r="I45" s="32">
        <f>IF(D20="",0,'Consumption Inputs'!$D$36)</f>
        <v>0</v>
      </c>
      <c r="J45" s="32">
        <f>IF(D20="",0,'Consumption Inputs'!$F$36)</f>
        <v>0</v>
      </c>
      <c r="K45" s="32">
        <f>IF(D20="",0,'Consumption Inputs'!$B$37)</f>
        <v>0</v>
      </c>
      <c r="L45" s="32">
        <f>IF(D20="",0,'Consumption Inputs'!$D$37)</f>
        <v>0</v>
      </c>
      <c r="M45" s="32">
        <f>IF(D20="",0,'Consumption Inputs'!$F$37)</f>
        <v>0</v>
      </c>
      <c r="N45" s="32">
        <f>IF(D20="",0,'Consumption Inputs'!$B$42)</f>
        <v>0</v>
      </c>
      <c r="O45" s="32">
        <f>IF(D20="",0,'Consumption Inputs'!$D$42)</f>
        <v>0</v>
      </c>
      <c r="P45" s="32">
        <f>IF(D20="",0,'Consumption Inputs'!$F$42)</f>
        <v>0</v>
      </c>
      <c r="Q45" s="32">
        <f>IF(D20="",0,'Consumption Inputs'!$B$34)</f>
        <v>0</v>
      </c>
      <c r="R45" s="32">
        <f>IF(D20="",0,'Consumption Inputs'!$D$34)</f>
        <v>0</v>
      </c>
      <c r="S45" s="32">
        <f>IF(D20="",0,'Consumption Inputs'!$F$34)</f>
        <v>0</v>
      </c>
      <c r="T45" s="32">
        <f>IF(D20="",0,'Consumption Inputs'!$B$35)</f>
        <v>0</v>
      </c>
      <c r="U45" s="32">
        <f>IF(D20="",0,'Consumption Inputs'!$D$35)</f>
        <v>0</v>
      </c>
      <c r="V45" s="32">
        <f>IF(D20="",0,'Consumption Inputs'!$F$35)</f>
        <v>0</v>
      </c>
      <c r="W45" s="32">
        <f>IF(D20="",0,'Consumption Inputs'!$B$34)</f>
        <v>0</v>
      </c>
      <c r="X45" s="32">
        <f>IF(D20="",0,'Consumption Inputs'!$D$34)</f>
        <v>0</v>
      </c>
      <c r="Y45" s="32">
        <f>IF(D20="",0,'Consumption Inputs'!$F$34)</f>
        <v>0</v>
      </c>
      <c r="Z45" s="32">
        <f>IF(D20="",0,'Consumption Inputs'!$B$38)</f>
        <v>0</v>
      </c>
      <c r="AA45" s="32">
        <f>IF(D20="",0,'Consumption Inputs'!$D$38)</f>
        <v>0</v>
      </c>
      <c r="AB45" s="31">
        <f>IF(D20="",0,'Consumption Inputs'!$F$38)</f>
        <v>0</v>
      </c>
      <c r="AC45" s="31">
        <f>IF(D20="",0,VLOOKUP($N20,'Consumption Inputs'!$A$40:$I$117,8))</f>
        <v>0</v>
      </c>
      <c r="AD45" s="31">
        <f>IF(D20="",0,VLOOKUP($N20,'Consumption Inputs'!$A$40:$I$117,9))</f>
        <v>0</v>
      </c>
      <c r="AE45" s="34">
        <f>IF(D20="",0,'Consumption Inputs'!$B$18)</f>
        <v>0</v>
      </c>
    </row>
    <row r="46" spans="1:31" ht="20.100000000000001" hidden="1" customHeight="1" x14ac:dyDescent="0.2">
      <c r="A46" s="39">
        <f t="shared" si="10"/>
        <v>17</v>
      </c>
      <c r="B46" s="31">
        <f>IF(D21="",0,VLOOKUP($N21,'Consumption Inputs'!$A$40:$I$117,2))</f>
        <v>0</v>
      </c>
      <c r="C46" s="31">
        <f>IF(D21="",0,VLOOKUP($N21,'Consumption Inputs'!$A$40:$I$117,4))</f>
        <v>0</v>
      </c>
      <c r="D46" s="31">
        <f>IF(D21="",0,VLOOKUP($N21,'Consumption Inputs'!$A$40:$I$117,6))</f>
        <v>0</v>
      </c>
      <c r="E46" s="31">
        <f>IF(D21="",0,VLOOKUP($N21,'Consumption Inputs'!$A$40:$I$117,3))</f>
        <v>0</v>
      </c>
      <c r="F46" s="31">
        <f>IF(D21="",0,VLOOKUP($N21,'Consumption Inputs'!$A$40:$I$117,5))</f>
        <v>0</v>
      </c>
      <c r="G46" s="31">
        <f>IF(D21="",0,VLOOKUP($N21,'Consumption Inputs'!$A$40:$I$117,7))</f>
        <v>0</v>
      </c>
      <c r="H46" s="32">
        <f>IF(D21="",0,'Consumption Inputs'!$B$36)</f>
        <v>0</v>
      </c>
      <c r="I46" s="32">
        <f>IF(D21="",0,'Consumption Inputs'!$D$36)</f>
        <v>0</v>
      </c>
      <c r="J46" s="32">
        <f>IF(D21="",0,'Consumption Inputs'!$F$36)</f>
        <v>0</v>
      </c>
      <c r="K46" s="32">
        <f>IF(D21="",0,'Consumption Inputs'!$B$37)</f>
        <v>0</v>
      </c>
      <c r="L46" s="32">
        <f>IF(D21="",0,'Consumption Inputs'!$D$37)</f>
        <v>0</v>
      </c>
      <c r="M46" s="32">
        <f>IF(D21="",0,'Consumption Inputs'!$F$37)</f>
        <v>0</v>
      </c>
      <c r="N46" s="32">
        <f>IF(D21="",0,'Consumption Inputs'!$B$42)</f>
        <v>0</v>
      </c>
      <c r="O46" s="32">
        <f>IF(D21="",0,'Consumption Inputs'!$D$42)</f>
        <v>0</v>
      </c>
      <c r="P46" s="32">
        <f>IF(D21="",0,'Consumption Inputs'!$F$42)</f>
        <v>0</v>
      </c>
      <c r="Q46" s="32">
        <f>IF(D21="",0,'Consumption Inputs'!$B$34)</f>
        <v>0</v>
      </c>
      <c r="R46" s="32">
        <f>IF(D21="",0,'Consumption Inputs'!$D$34)</f>
        <v>0</v>
      </c>
      <c r="S46" s="32">
        <f>IF(D21="",0,'Consumption Inputs'!$F$34)</f>
        <v>0</v>
      </c>
      <c r="T46" s="32">
        <f>IF(D21="",0,'Consumption Inputs'!$B$35)</f>
        <v>0</v>
      </c>
      <c r="U46" s="32">
        <f>IF(D21="",0,'Consumption Inputs'!$D$35)</f>
        <v>0</v>
      </c>
      <c r="V46" s="32">
        <f>IF(D21="",0,'Consumption Inputs'!$F$35)</f>
        <v>0</v>
      </c>
      <c r="W46" s="32">
        <f>IF(D21="",0,'Consumption Inputs'!$B$34)</f>
        <v>0</v>
      </c>
      <c r="X46" s="32">
        <f>IF(D21="",0,'Consumption Inputs'!$D$34)</f>
        <v>0</v>
      </c>
      <c r="Y46" s="32">
        <f>IF(D21="",0,'Consumption Inputs'!$F$34)</f>
        <v>0</v>
      </c>
      <c r="Z46" s="32">
        <f>IF(D21="",0,'Consumption Inputs'!$B$38)</f>
        <v>0</v>
      </c>
      <c r="AA46" s="32">
        <f>IF(D21="",0,'Consumption Inputs'!$D$38)</f>
        <v>0</v>
      </c>
      <c r="AB46" s="31">
        <f>IF(D21="",0,'Consumption Inputs'!$F$38)</f>
        <v>0</v>
      </c>
      <c r="AC46" s="31">
        <f>IF(D21="",0,VLOOKUP($N21,'Consumption Inputs'!$A$40:$I$117,8))</f>
        <v>0</v>
      </c>
      <c r="AD46" s="31">
        <f>IF(D21="",0,VLOOKUP($N21,'Consumption Inputs'!$A$40:$I$117,9))</f>
        <v>0</v>
      </c>
      <c r="AE46" s="34">
        <f>IF(D21="",0,'Consumption Inputs'!$B$18)</f>
        <v>0</v>
      </c>
    </row>
    <row r="47" spans="1:31" ht="20.100000000000001" hidden="1" customHeight="1" x14ac:dyDescent="0.2">
      <c r="A47" s="39">
        <f t="shared" si="10"/>
        <v>18</v>
      </c>
      <c r="B47" s="31">
        <f>IF(D22="",0,VLOOKUP($N22,'Consumption Inputs'!$A$40:$I$117,2))</f>
        <v>0</v>
      </c>
      <c r="C47" s="31">
        <f>IF(D22="",0,VLOOKUP($N22,'Consumption Inputs'!$A$40:$I$117,4))</f>
        <v>0</v>
      </c>
      <c r="D47" s="31">
        <f>IF(D22="",0,VLOOKUP($N22,'Consumption Inputs'!$A$40:$I$117,6))</f>
        <v>0</v>
      </c>
      <c r="E47" s="31">
        <f>IF(D22="",0,VLOOKUP($N22,'Consumption Inputs'!$A$40:$I$117,3))</f>
        <v>0</v>
      </c>
      <c r="F47" s="31">
        <f>IF(D22="",0,VLOOKUP($N22,'Consumption Inputs'!$A$40:$I$117,5))</f>
        <v>0</v>
      </c>
      <c r="G47" s="31">
        <f>IF(D22="",0,VLOOKUP($N22,'Consumption Inputs'!$A$40:$I$117,7))</f>
        <v>0</v>
      </c>
      <c r="H47" s="32">
        <f>IF(D22="",0,'Consumption Inputs'!$B$36)</f>
        <v>0</v>
      </c>
      <c r="I47" s="32">
        <f>IF(D22="",0,'Consumption Inputs'!$D$36)</f>
        <v>0</v>
      </c>
      <c r="J47" s="32">
        <f>IF(D22="",0,'Consumption Inputs'!$F$36)</f>
        <v>0</v>
      </c>
      <c r="K47" s="32">
        <f>IF(D22="",0,'Consumption Inputs'!$B$37)</f>
        <v>0</v>
      </c>
      <c r="L47" s="32">
        <f>IF(D22="",0,'Consumption Inputs'!$D$37)</f>
        <v>0</v>
      </c>
      <c r="M47" s="32">
        <f>IF(D22="",0,'Consumption Inputs'!$F$37)</f>
        <v>0</v>
      </c>
      <c r="N47" s="32">
        <f>IF(D22="",0,'Consumption Inputs'!$B$42)</f>
        <v>0</v>
      </c>
      <c r="O47" s="32">
        <f>IF(D22="",0,'Consumption Inputs'!$D$42)</f>
        <v>0</v>
      </c>
      <c r="P47" s="32">
        <f>IF(D22="",0,'Consumption Inputs'!$F$42)</f>
        <v>0</v>
      </c>
      <c r="Q47" s="32">
        <f>IF(D22="",0,'Consumption Inputs'!$B$34)</f>
        <v>0</v>
      </c>
      <c r="R47" s="32">
        <f>IF(D22="",0,'Consumption Inputs'!$D$34)</f>
        <v>0</v>
      </c>
      <c r="S47" s="32">
        <f>IF(D22="",0,'Consumption Inputs'!$F$34)</f>
        <v>0</v>
      </c>
      <c r="T47" s="32">
        <f>IF(D22="",0,'Consumption Inputs'!$B$35)</f>
        <v>0</v>
      </c>
      <c r="U47" s="32">
        <f>IF(D22="",0,'Consumption Inputs'!$D$35)</f>
        <v>0</v>
      </c>
      <c r="V47" s="32">
        <f>IF(D22="",0,'Consumption Inputs'!$F$35)</f>
        <v>0</v>
      </c>
      <c r="W47" s="32">
        <f>IF(D22="",0,'Consumption Inputs'!$B$34)</f>
        <v>0</v>
      </c>
      <c r="X47" s="32">
        <f>IF(D22="",0,'Consumption Inputs'!$D$34)</f>
        <v>0</v>
      </c>
      <c r="Y47" s="32">
        <f>IF(D22="",0,'Consumption Inputs'!$F$34)</f>
        <v>0</v>
      </c>
      <c r="Z47" s="32">
        <f>IF(D22="",0,'Consumption Inputs'!$B$38)</f>
        <v>0</v>
      </c>
      <c r="AA47" s="32">
        <f>IF(D22="",0,'Consumption Inputs'!$D$38)</f>
        <v>0</v>
      </c>
      <c r="AB47" s="31">
        <f>IF(D22="",0,'Consumption Inputs'!$F$38)</f>
        <v>0</v>
      </c>
      <c r="AC47" s="31">
        <f>IF(D22="",0,VLOOKUP($N22,'Consumption Inputs'!$A$40:$I$117,8))</f>
        <v>0</v>
      </c>
      <c r="AD47" s="31">
        <f>IF(D22="",0,VLOOKUP($N22,'Consumption Inputs'!$A$40:$I$117,9))</f>
        <v>0</v>
      </c>
      <c r="AE47" s="34">
        <f>IF(D22="",0,'Consumption Inputs'!$B$18)</f>
        <v>0</v>
      </c>
    </row>
    <row r="48" spans="1:31" ht="20.100000000000001" hidden="1" customHeight="1" x14ac:dyDescent="0.2">
      <c r="A48" s="39">
        <f t="shared" si="10"/>
        <v>19</v>
      </c>
      <c r="B48" s="31">
        <f>IF(D23="",0,VLOOKUP($N23,'Consumption Inputs'!$A$40:$I$117,2))</f>
        <v>0</v>
      </c>
      <c r="C48" s="31">
        <f>IF(D23="",0,VLOOKUP($N23,'Consumption Inputs'!$A$40:$I$117,4))</f>
        <v>0</v>
      </c>
      <c r="D48" s="31">
        <f>IF(D23="",0,VLOOKUP($N23,'Consumption Inputs'!$A$40:$I$117,6))</f>
        <v>0</v>
      </c>
      <c r="E48" s="31">
        <f>IF(D23="",0,VLOOKUP($N23,'Consumption Inputs'!$A$40:$I$117,3))</f>
        <v>0</v>
      </c>
      <c r="F48" s="31">
        <f>IF(D23="",0,VLOOKUP($N23,'Consumption Inputs'!$A$40:$I$117,5))</f>
        <v>0</v>
      </c>
      <c r="G48" s="31">
        <f>IF(D23="",0,VLOOKUP($N23,'Consumption Inputs'!$A$40:$I$117,7))</f>
        <v>0</v>
      </c>
      <c r="H48" s="32">
        <f>IF(D23="",0,'Consumption Inputs'!$B$36)</f>
        <v>0</v>
      </c>
      <c r="I48" s="32">
        <f>IF(D23="",0,'Consumption Inputs'!$D$36)</f>
        <v>0</v>
      </c>
      <c r="J48" s="32">
        <f>IF(D23="",0,'Consumption Inputs'!$F$36)</f>
        <v>0</v>
      </c>
      <c r="K48" s="32">
        <f>IF(D23="",0,'Consumption Inputs'!$B$37)</f>
        <v>0</v>
      </c>
      <c r="L48" s="32">
        <f>IF(D23="",0,'Consumption Inputs'!$D$37)</f>
        <v>0</v>
      </c>
      <c r="M48" s="32">
        <f>IF(D23="",0,'Consumption Inputs'!$F$37)</f>
        <v>0</v>
      </c>
      <c r="N48" s="32">
        <f>IF(D23="",0,'Consumption Inputs'!$B$42)</f>
        <v>0</v>
      </c>
      <c r="O48" s="32">
        <f>IF(D23="",0,'Consumption Inputs'!$D$42)</f>
        <v>0</v>
      </c>
      <c r="P48" s="32">
        <f>IF(D23="",0,'Consumption Inputs'!$F$42)</f>
        <v>0</v>
      </c>
      <c r="Q48" s="32">
        <f>IF(D23="",0,'Consumption Inputs'!$B$34)</f>
        <v>0</v>
      </c>
      <c r="R48" s="32">
        <f>IF(D23="",0,'Consumption Inputs'!$D$34)</f>
        <v>0</v>
      </c>
      <c r="S48" s="32">
        <f>IF(D23="",0,'Consumption Inputs'!$F$34)</f>
        <v>0</v>
      </c>
      <c r="T48" s="32">
        <f>IF(D23="",0,'Consumption Inputs'!$B$35)</f>
        <v>0</v>
      </c>
      <c r="U48" s="32">
        <f>IF(D23="",0,'Consumption Inputs'!$D$35)</f>
        <v>0</v>
      </c>
      <c r="V48" s="32">
        <f>IF(D23="",0,'Consumption Inputs'!$F$35)</f>
        <v>0</v>
      </c>
      <c r="W48" s="32">
        <f>IF(D23="",0,'Consumption Inputs'!$B$34)</f>
        <v>0</v>
      </c>
      <c r="X48" s="32">
        <f>IF(D23="",0,'Consumption Inputs'!$D$34)</f>
        <v>0</v>
      </c>
      <c r="Y48" s="32">
        <f>IF(D23="",0,'Consumption Inputs'!$F$34)</f>
        <v>0</v>
      </c>
      <c r="Z48" s="32">
        <f>IF(D23="",0,'Consumption Inputs'!$B$38)</f>
        <v>0</v>
      </c>
      <c r="AA48" s="32">
        <f>IF(D23="",0,'Consumption Inputs'!$D$38)</f>
        <v>0</v>
      </c>
      <c r="AB48" s="31">
        <f>IF(D23="",0,'Consumption Inputs'!$F$38)</f>
        <v>0</v>
      </c>
      <c r="AC48" s="31">
        <f>IF(D23="",0,VLOOKUP($N23,'Consumption Inputs'!$A$40:$I$117,8))</f>
        <v>0</v>
      </c>
      <c r="AD48" s="31">
        <f>IF(D23="",0,VLOOKUP($N23,'Consumption Inputs'!$A$40:$I$117,9))</f>
        <v>0</v>
      </c>
      <c r="AE48" s="34">
        <f>IF(D23="",0,'Consumption Inputs'!$B$18)</f>
        <v>0</v>
      </c>
    </row>
    <row r="49" spans="1:31" ht="20.100000000000001" hidden="1" customHeight="1" thickBot="1" x14ac:dyDescent="0.25">
      <c r="A49" s="49">
        <f t="shared" si="10"/>
        <v>20</v>
      </c>
      <c r="B49" s="62">
        <f>IF(D24="",0,VLOOKUP($N24,'Consumption Inputs'!$A$40:$I$117,2))</f>
        <v>0</v>
      </c>
      <c r="C49" s="62">
        <f>IF(D24="",0,VLOOKUP($N24,'Consumption Inputs'!$A$40:$I$117,4))</f>
        <v>0</v>
      </c>
      <c r="D49" s="62">
        <f>IF(D24="",0,VLOOKUP($N24,'Consumption Inputs'!$A$40:$I$117,6))</f>
        <v>0</v>
      </c>
      <c r="E49" s="62">
        <f>IF(D24="",0,VLOOKUP($N24,'Consumption Inputs'!$A$40:$I$117,3))</f>
        <v>0</v>
      </c>
      <c r="F49" s="62">
        <f>IF(D24="",0,VLOOKUP($N24,'Consumption Inputs'!$A$40:$I$117,5))</f>
        <v>0</v>
      </c>
      <c r="G49" s="62">
        <f>IF(D24="",0,VLOOKUP($N24,'Consumption Inputs'!$A$40:$I$117,7))</f>
        <v>0</v>
      </c>
      <c r="H49" s="64">
        <f>IF(D24="",0,'Consumption Inputs'!$B$36)</f>
        <v>0</v>
      </c>
      <c r="I49" s="64">
        <f>IF(D24="",0,'Consumption Inputs'!$D$36)</f>
        <v>0</v>
      </c>
      <c r="J49" s="64">
        <f>IF(D24="",0,'Consumption Inputs'!$F$36)</f>
        <v>0</v>
      </c>
      <c r="K49" s="64">
        <f>IF(D24="",0,'Consumption Inputs'!$B$37)</f>
        <v>0</v>
      </c>
      <c r="L49" s="64">
        <f>IF(D24="",0,'Consumption Inputs'!$D$37)</f>
        <v>0</v>
      </c>
      <c r="M49" s="64">
        <f>IF(D24="",0,'Consumption Inputs'!$F$37)</f>
        <v>0</v>
      </c>
      <c r="N49" s="64">
        <f>IF(D24="",0,'Consumption Inputs'!$B$42)</f>
        <v>0</v>
      </c>
      <c r="O49" s="64">
        <f>IF(D24="",0,'Consumption Inputs'!$D$42)</f>
        <v>0</v>
      </c>
      <c r="P49" s="64">
        <f>IF(D24="",0,'Consumption Inputs'!$F$42)</f>
        <v>0</v>
      </c>
      <c r="Q49" s="64">
        <f>IF(D24="",0,'Consumption Inputs'!$B$34)</f>
        <v>0</v>
      </c>
      <c r="R49" s="64">
        <f>IF(D24="",0,'Consumption Inputs'!$D$34)</f>
        <v>0</v>
      </c>
      <c r="S49" s="64">
        <f>IF(D24="",0,'Consumption Inputs'!$F$34)</f>
        <v>0</v>
      </c>
      <c r="T49" s="64">
        <f>IF(D24="",0,'Consumption Inputs'!$B$35)</f>
        <v>0</v>
      </c>
      <c r="U49" s="64">
        <f>IF(D24="",0,'Consumption Inputs'!$D$35)</f>
        <v>0</v>
      </c>
      <c r="V49" s="64">
        <f>IF(D24="",0,'Consumption Inputs'!$F$35)</f>
        <v>0</v>
      </c>
      <c r="W49" s="64">
        <f>IF(D24="",0,'Consumption Inputs'!$B$34)</f>
        <v>0</v>
      </c>
      <c r="X49" s="64">
        <f>IF(D24="",0,'Consumption Inputs'!$D$34)</f>
        <v>0</v>
      </c>
      <c r="Y49" s="64">
        <f>IF(D24="",0,'Consumption Inputs'!$F$34)</f>
        <v>0</v>
      </c>
      <c r="Z49" s="64">
        <f>IF(D24="",0,'Consumption Inputs'!$B$38)</f>
        <v>0</v>
      </c>
      <c r="AA49" s="64">
        <f>IF(D24="",0,'Consumption Inputs'!$D$38)</f>
        <v>0</v>
      </c>
      <c r="AB49" s="62">
        <f>IF(D24="",0,'Consumption Inputs'!$F$38)</f>
        <v>0</v>
      </c>
      <c r="AC49" s="62">
        <f>IF(D24="",0,VLOOKUP($N24,'Consumption Inputs'!$A$40:$I$117,8))</f>
        <v>0</v>
      </c>
      <c r="AD49" s="62">
        <f>IF(D24="",0,VLOOKUP($N24,'Consumption Inputs'!$A$40:$I$117,9))</f>
        <v>0</v>
      </c>
      <c r="AE49" s="75">
        <f>IF(D24="",0,'Consumption Inputs'!$B$18)</f>
        <v>0</v>
      </c>
    </row>
    <row r="50" spans="1:31" ht="20.100000000000001" hidden="1" customHeight="1" thickTop="1" thickBot="1" x14ac:dyDescent="0.25">
      <c r="A50" s="51" t="s">
        <v>0</v>
      </c>
      <c r="B50" s="63">
        <f>SUM(B30:B49)</f>
        <v>339.25619834710744</v>
      </c>
      <c r="C50" s="63">
        <f>SUM(C30:C49)</f>
        <v>160.7391100702576</v>
      </c>
      <c r="D50" s="63">
        <f>SUM(D30:D49)</f>
        <v>164.2</v>
      </c>
      <c r="E50" s="63">
        <f t="shared" ref="E50:G50" si="11">SUM(E30:E49)</f>
        <v>336.77685950413229</v>
      </c>
      <c r="F50" s="63">
        <f t="shared" si="11"/>
        <v>159.56440281030447</v>
      </c>
      <c r="G50" s="63">
        <f t="shared" si="11"/>
        <v>163</v>
      </c>
      <c r="H50" s="63">
        <f t="shared" ref="H50" si="12">SUM(H30:H49)</f>
        <v>278.92561983471074</v>
      </c>
      <c r="I50" s="63">
        <f t="shared" ref="I50" si="13">SUM(I30:I49)</f>
        <v>132.15456674473069</v>
      </c>
      <c r="J50" s="63">
        <f t="shared" ref="J50" si="14">SUM(J30:J49)</f>
        <v>135</v>
      </c>
      <c r="K50" s="63">
        <f t="shared" ref="K50" si="15">SUM(K30:K49)</f>
        <v>454.5454545454545</v>
      </c>
      <c r="L50" s="63">
        <f t="shared" ref="L50" si="16">SUM(L30:L49)</f>
        <v>215.36299765807962</v>
      </c>
      <c r="M50" s="63">
        <f t="shared" ref="M50" si="17">SUM(M30:M49)</f>
        <v>220</v>
      </c>
      <c r="N50" s="63">
        <f t="shared" ref="N50" si="18">SUM(N30:N49)</f>
        <v>423.55371900826447</v>
      </c>
      <c r="O50" s="63">
        <f t="shared" ref="O50" si="19">SUM(O30:O49)</f>
        <v>200.67915690866511</v>
      </c>
      <c r="P50" s="63">
        <f t="shared" ref="P50" si="20">SUM(P30:P49)</f>
        <v>205</v>
      </c>
      <c r="Q50" s="63">
        <f t="shared" ref="Q50" si="21">SUM(Q30:Q49)</f>
        <v>154.95867768595042</v>
      </c>
      <c r="R50" s="63">
        <f t="shared" ref="R50" si="22">SUM(R30:R49)</f>
        <v>73.419203747072601</v>
      </c>
      <c r="S50" s="63">
        <f t="shared" ref="S50" si="23">SUM(S30:S49)</f>
        <v>75</v>
      </c>
      <c r="T50" s="63">
        <f t="shared" ref="T50" si="24">SUM(T30:T49)</f>
        <v>154.95867768595042</v>
      </c>
      <c r="U50" s="63">
        <f t="shared" ref="U50" si="25">SUM(U30:U49)</f>
        <v>73.419203747072601</v>
      </c>
      <c r="V50" s="63">
        <f t="shared" ref="V50" si="26">SUM(V30:V49)</f>
        <v>75</v>
      </c>
      <c r="W50" s="63">
        <f t="shared" ref="W50" si="27">SUM(W30:W49)</f>
        <v>154.95867768595042</v>
      </c>
      <c r="X50" s="63">
        <f t="shared" ref="X50" si="28">SUM(X30:X49)</f>
        <v>73.419203747072601</v>
      </c>
      <c r="Y50" s="63">
        <f t="shared" ref="Y50" si="29">SUM(Y30:Y49)</f>
        <v>75</v>
      </c>
      <c r="Z50" s="63">
        <f t="shared" ref="Z50" si="30">SUM(Z30:Z49)</f>
        <v>61.983471074380169</v>
      </c>
      <c r="AA50" s="63">
        <f t="shared" ref="AA50:AB50" si="31">SUM(AA30:AA49)</f>
        <v>29.367681498829043</v>
      </c>
      <c r="AB50" s="63">
        <f t="shared" si="31"/>
        <v>30</v>
      </c>
      <c r="AC50" s="63">
        <f t="shared" ref="AC50:AE50" si="32">SUM(AC30:AC49)</f>
        <v>7.5</v>
      </c>
      <c r="AD50" s="69">
        <f t="shared" si="32"/>
        <v>2.8000000000000003</v>
      </c>
      <c r="AE50" s="71">
        <f t="shared" si="32"/>
        <v>0.5</v>
      </c>
    </row>
    <row r="51" spans="1:31" ht="20.100000000000001" hidden="1" customHeight="1" thickTop="1" x14ac:dyDescent="0.2"/>
    <row r="52" spans="1:31" ht="20.100000000000001" hidden="1" customHeight="1" x14ac:dyDescent="0.3">
      <c r="A52" s="12" t="s">
        <v>126</v>
      </c>
      <c r="B52" s="20"/>
      <c r="C52" s="20"/>
      <c r="D52" s="21"/>
    </row>
    <row r="53" spans="1:31" ht="20.100000000000001" hidden="1" customHeight="1" thickBot="1" x14ac:dyDescent="0.35">
      <c r="A53" s="12"/>
      <c r="B53" s="70"/>
      <c r="C53" s="70"/>
      <c r="D53" s="70"/>
      <c r="E53" s="70"/>
      <c r="F53" s="70"/>
      <c r="G53" s="70"/>
      <c r="H53" s="70"/>
    </row>
    <row r="54" spans="1:31" ht="20.100000000000001" hidden="1" customHeight="1" thickTop="1" thickBot="1" x14ac:dyDescent="0.25">
      <c r="A54" s="4" t="s">
        <v>44</v>
      </c>
      <c r="B54" s="16" t="s">
        <v>30</v>
      </c>
      <c r="C54" s="16" t="s">
        <v>32</v>
      </c>
      <c r="D54" s="16" t="s">
        <v>34</v>
      </c>
      <c r="E54" s="16" t="s">
        <v>31</v>
      </c>
      <c r="F54" s="16" t="s">
        <v>33</v>
      </c>
      <c r="G54" s="16" t="s">
        <v>35</v>
      </c>
      <c r="H54" s="30" t="s">
        <v>65</v>
      </c>
      <c r="I54" s="30" t="s">
        <v>66</v>
      </c>
      <c r="J54" s="30" t="s">
        <v>67</v>
      </c>
      <c r="K54" s="30" t="s">
        <v>68</v>
      </c>
      <c r="L54" s="30" t="s">
        <v>69</v>
      </c>
      <c r="M54" s="30" t="s">
        <v>70</v>
      </c>
      <c r="N54" s="30" t="s">
        <v>82</v>
      </c>
      <c r="O54" s="30" t="s">
        <v>83</v>
      </c>
      <c r="P54" s="30" t="s">
        <v>84</v>
      </c>
      <c r="Q54" s="30" t="s">
        <v>85</v>
      </c>
      <c r="R54" s="30" t="s">
        <v>86</v>
      </c>
      <c r="S54" s="30" t="s">
        <v>87</v>
      </c>
      <c r="T54" s="30" t="s">
        <v>88</v>
      </c>
      <c r="U54" s="30" t="s">
        <v>89</v>
      </c>
      <c r="V54" s="30" t="s">
        <v>90</v>
      </c>
      <c r="W54" s="30" t="s">
        <v>91</v>
      </c>
      <c r="X54" s="30" t="s">
        <v>92</v>
      </c>
      <c r="Y54" s="30" t="s">
        <v>93</v>
      </c>
      <c r="Z54" s="30" t="s">
        <v>71</v>
      </c>
      <c r="AA54" s="30" t="s">
        <v>72</v>
      </c>
      <c r="AB54" s="17" t="s">
        <v>73</v>
      </c>
      <c r="AC54" s="16" t="s">
        <v>13</v>
      </c>
      <c r="AD54" s="17" t="s">
        <v>27</v>
      </c>
      <c r="AE54" s="17" t="s">
        <v>129</v>
      </c>
    </row>
    <row r="55" spans="1:31" ht="20.100000000000001" hidden="1" customHeight="1" thickTop="1" x14ac:dyDescent="0.2">
      <c r="A55" s="39">
        <f>A5</f>
        <v>1</v>
      </c>
      <c r="B55" s="25">
        <f t="shared" ref="B55:B74" si="33">IF($AV5=2,B30,0)</f>
        <v>0</v>
      </c>
      <c r="C55" s="25">
        <f t="shared" ref="C55:C74" si="34">IF($AV5=3,C30,0)</f>
        <v>0</v>
      </c>
      <c r="D55" s="25">
        <f t="shared" ref="D55:D74" si="35">IF($AV5=4,D30,0)</f>
        <v>0</v>
      </c>
      <c r="E55" s="25">
        <f t="shared" ref="E55:E74" si="36">IF($AV5=5,E30,0)</f>
        <v>101.23966942148762</v>
      </c>
      <c r="F55" s="25">
        <f t="shared" ref="F55:F74" si="37">IF($AV5=6,F30,0)</f>
        <v>0</v>
      </c>
      <c r="G55" s="25">
        <f t="shared" ref="G55:G74" si="38">IF($AV5=7,G30,0)</f>
        <v>0</v>
      </c>
      <c r="H55" s="25">
        <f t="shared" ref="H55:H74" si="39">IF($AV5=8,H30,0)</f>
        <v>0</v>
      </c>
      <c r="I55" s="25">
        <f t="shared" ref="I55:I74" si="40">IF($AV5=9,I30,0)</f>
        <v>0</v>
      </c>
      <c r="J55" s="25">
        <f t="shared" ref="J55:J74" si="41">IF($AV5=10,J30,0)</f>
        <v>0</v>
      </c>
      <c r="K55" s="25">
        <f t="shared" ref="K55:K74" si="42">IF($AV5=11,K30,0)</f>
        <v>0</v>
      </c>
      <c r="L55" s="25">
        <f t="shared" ref="L55:L74" si="43">IF($AV5=12,L30,0)</f>
        <v>0</v>
      </c>
      <c r="M55" s="25">
        <f t="shared" ref="M55:M74" si="44">IF($AV5=13,M30,0)</f>
        <v>0</v>
      </c>
      <c r="N55" s="25">
        <f t="shared" ref="N55:N74" si="45">IF($AV5=14,N30,0)</f>
        <v>0</v>
      </c>
      <c r="O55" s="25">
        <f t="shared" ref="O55:O74" si="46">IF($AV5=15,O30,0)</f>
        <v>0</v>
      </c>
      <c r="P55" s="25">
        <f t="shared" ref="P55:P74" si="47">IF($AV5=16,P30,0)</f>
        <v>0</v>
      </c>
      <c r="Q55" s="25">
        <f t="shared" ref="Q55:Q74" si="48">IF($AV5=17,Q30,0)</f>
        <v>0</v>
      </c>
      <c r="R55" s="25">
        <f t="shared" ref="R55:R74" si="49">IF($AV5=18,R30,0)</f>
        <v>0</v>
      </c>
      <c r="S55" s="25">
        <f t="shared" ref="S55:S74" si="50">IF($AV5=19,S30,0)</f>
        <v>0</v>
      </c>
      <c r="T55" s="25">
        <f t="shared" ref="T55:T74" si="51">IF($AV5=20,T30,0)</f>
        <v>0</v>
      </c>
      <c r="U55" s="25">
        <f t="shared" ref="U55:U74" si="52">IF($AV5=21,U30,0)</f>
        <v>0</v>
      </c>
      <c r="V55" s="25">
        <f t="shared" ref="V55:V74" si="53">IF($AV5=22,V30,0)</f>
        <v>0</v>
      </c>
      <c r="W55" s="25">
        <f t="shared" ref="W55:W74" si="54">IF($AV5=23,W30,0)</f>
        <v>0</v>
      </c>
      <c r="X55" s="25">
        <f t="shared" ref="X55:X74" si="55">IF($AV5=24,X30,0)</f>
        <v>0</v>
      </c>
      <c r="Y55" s="25">
        <f t="shared" ref="Y55:Y74" si="56">IF($AV5=25,Y30,0)</f>
        <v>0</v>
      </c>
      <c r="Z55" s="25">
        <f t="shared" ref="Z55:Z74" si="57">IF($AZ5=26,Z30,0)</f>
        <v>12.396694214876034</v>
      </c>
      <c r="AA55" s="25">
        <f t="shared" ref="AA55:AA74" si="58">IF($AZ5=27,AA30,0)</f>
        <v>0</v>
      </c>
      <c r="AB55" s="25">
        <f t="shared" ref="AB55:AB74" si="59">IF($AZ5=28,AB30,0)</f>
        <v>0</v>
      </c>
      <c r="AC55" s="25">
        <f t="shared" ref="AC55:AC74" si="60">IF(S5&gt;2,AC30,0)</f>
        <v>0</v>
      </c>
      <c r="AD55" s="33">
        <f t="shared" ref="AD55:AD74" si="61">IF(W5=1,AD30,0)</f>
        <v>0.6</v>
      </c>
      <c r="AE55" s="35">
        <f t="shared" ref="AE55:AE74" si="62">IF(AND(U5=1,W5=1),AE30,0)</f>
        <v>0.1</v>
      </c>
    </row>
    <row r="56" spans="1:31" ht="20.100000000000001" hidden="1" customHeight="1" x14ac:dyDescent="0.2">
      <c r="A56" s="39">
        <f t="shared" ref="A56:A74" si="63">A6</f>
        <v>2</v>
      </c>
      <c r="B56" s="31">
        <f t="shared" si="33"/>
        <v>0</v>
      </c>
      <c r="C56" s="31">
        <f t="shared" si="34"/>
        <v>0</v>
      </c>
      <c r="D56" s="31">
        <f t="shared" si="35"/>
        <v>0</v>
      </c>
      <c r="E56" s="31">
        <f t="shared" si="36"/>
        <v>0</v>
      </c>
      <c r="F56" s="31">
        <f t="shared" si="37"/>
        <v>0</v>
      </c>
      <c r="G56" s="31">
        <f t="shared" si="38"/>
        <v>0</v>
      </c>
      <c r="H56" s="32">
        <f t="shared" si="39"/>
        <v>0</v>
      </c>
      <c r="I56" s="32">
        <f t="shared" si="40"/>
        <v>0</v>
      </c>
      <c r="J56" s="32">
        <f t="shared" si="41"/>
        <v>0</v>
      </c>
      <c r="K56" s="32">
        <f t="shared" si="42"/>
        <v>0</v>
      </c>
      <c r="L56" s="32">
        <f t="shared" si="43"/>
        <v>0</v>
      </c>
      <c r="M56" s="32">
        <f t="shared" si="44"/>
        <v>0</v>
      </c>
      <c r="N56" s="32">
        <f t="shared" si="45"/>
        <v>0</v>
      </c>
      <c r="O56" s="32">
        <f t="shared" si="46"/>
        <v>0</v>
      </c>
      <c r="P56" s="32">
        <f t="shared" si="47"/>
        <v>0</v>
      </c>
      <c r="Q56" s="32">
        <f t="shared" si="48"/>
        <v>0</v>
      </c>
      <c r="R56" s="32">
        <f t="shared" si="49"/>
        <v>0</v>
      </c>
      <c r="S56" s="32">
        <f t="shared" si="50"/>
        <v>0</v>
      </c>
      <c r="T56" s="32">
        <f t="shared" si="51"/>
        <v>30.991735537190085</v>
      </c>
      <c r="U56" s="32">
        <f t="shared" si="52"/>
        <v>0</v>
      </c>
      <c r="V56" s="32">
        <f t="shared" si="53"/>
        <v>0</v>
      </c>
      <c r="W56" s="32">
        <f t="shared" si="54"/>
        <v>0</v>
      </c>
      <c r="X56" s="32">
        <f t="shared" si="55"/>
        <v>0</v>
      </c>
      <c r="Y56" s="32">
        <f t="shared" si="56"/>
        <v>0</v>
      </c>
      <c r="Z56" s="32">
        <f t="shared" si="57"/>
        <v>12.396694214876034</v>
      </c>
      <c r="AA56" s="32">
        <f t="shared" si="58"/>
        <v>0</v>
      </c>
      <c r="AB56" s="31">
        <f t="shared" si="59"/>
        <v>0</v>
      </c>
      <c r="AC56" s="31">
        <f t="shared" si="60"/>
        <v>2.5</v>
      </c>
      <c r="AD56" s="32">
        <f t="shared" si="61"/>
        <v>0.5</v>
      </c>
      <c r="AE56" s="34">
        <f t="shared" si="62"/>
        <v>0.1</v>
      </c>
    </row>
    <row r="57" spans="1:31" ht="20.100000000000001" hidden="1" customHeight="1" x14ac:dyDescent="0.2">
      <c r="A57" s="39">
        <f t="shared" si="63"/>
        <v>3</v>
      </c>
      <c r="B57" s="31">
        <f t="shared" si="33"/>
        <v>0</v>
      </c>
      <c r="C57" s="31">
        <f t="shared" si="34"/>
        <v>0</v>
      </c>
      <c r="D57" s="31">
        <f t="shared" si="35"/>
        <v>0</v>
      </c>
      <c r="E57" s="31">
        <f t="shared" si="36"/>
        <v>86.776859504132247</v>
      </c>
      <c r="F57" s="31">
        <f t="shared" si="37"/>
        <v>0</v>
      </c>
      <c r="G57" s="31">
        <f t="shared" si="38"/>
        <v>0</v>
      </c>
      <c r="H57" s="32">
        <f t="shared" si="39"/>
        <v>0</v>
      </c>
      <c r="I57" s="32">
        <f t="shared" si="40"/>
        <v>0</v>
      </c>
      <c r="J57" s="32">
        <f t="shared" si="41"/>
        <v>0</v>
      </c>
      <c r="K57" s="32">
        <f t="shared" si="42"/>
        <v>0</v>
      </c>
      <c r="L57" s="32">
        <f t="shared" si="43"/>
        <v>0</v>
      </c>
      <c r="M57" s="32">
        <f t="shared" si="44"/>
        <v>0</v>
      </c>
      <c r="N57" s="32">
        <f t="shared" si="45"/>
        <v>0</v>
      </c>
      <c r="O57" s="32">
        <f t="shared" si="46"/>
        <v>0</v>
      </c>
      <c r="P57" s="32">
        <f t="shared" si="47"/>
        <v>0</v>
      </c>
      <c r="Q57" s="32">
        <f t="shared" si="48"/>
        <v>0</v>
      </c>
      <c r="R57" s="32">
        <f t="shared" si="49"/>
        <v>0</v>
      </c>
      <c r="S57" s="32">
        <f t="shared" si="50"/>
        <v>0</v>
      </c>
      <c r="T57" s="32">
        <f t="shared" si="51"/>
        <v>0</v>
      </c>
      <c r="U57" s="32">
        <f t="shared" si="52"/>
        <v>0</v>
      </c>
      <c r="V57" s="32">
        <f t="shared" si="53"/>
        <v>0</v>
      </c>
      <c r="W57" s="32">
        <f t="shared" si="54"/>
        <v>0</v>
      </c>
      <c r="X57" s="32">
        <f t="shared" si="55"/>
        <v>0</v>
      </c>
      <c r="Y57" s="32">
        <f t="shared" si="56"/>
        <v>0</v>
      </c>
      <c r="Z57" s="32">
        <f t="shared" si="57"/>
        <v>12.396694214876034</v>
      </c>
      <c r="AA57" s="32">
        <f t="shared" si="58"/>
        <v>0</v>
      </c>
      <c r="AB57" s="31">
        <f t="shared" si="59"/>
        <v>0</v>
      </c>
      <c r="AC57" s="31">
        <f t="shared" si="60"/>
        <v>0</v>
      </c>
      <c r="AD57" s="32">
        <f t="shared" si="61"/>
        <v>0.6</v>
      </c>
      <c r="AE57" s="34">
        <f t="shared" si="62"/>
        <v>0.1</v>
      </c>
    </row>
    <row r="58" spans="1:31" ht="20.100000000000001" hidden="1" customHeight="1" x14ac:dyDescent="0.2">
      <c r="A58" s="39">
        <f t="shared" si="63"/>
        <v>4</v>
      </c>
      <c r="B58" s="31">
        <f t="shared" si="33"/>
        <v>0</v>
      </c>
      <c r="C58" s="31">
        <f t="shared" si="34"/>
        <v>0</v>
      </c>
      <c r="D58" s="31">
        <f t="shared" si="35"/>
        <v>0</v>
      </c>
      <c r="E58" s="31">
        <f t="shared" si="36"/>
        <v>0</v>
      </c>
      <c r="F58" s="31">
        <f t="shared" si="37"/>
        <v>0</v>
      </c>
      <c r="G58" s="31">
        <f t="shared" si="38"/>
        <v>0</v>
      </c>
      <c r="H58" s="32">
        <f t="shared" si="39"/>
        <v>0</v>
      </c>
      <c r="I58" s="32">
        <f t="shared" si="40"/>
        <v>0</v>
      </c>
      <c r="J58" s="32">
        <f t="shared" si="41"/>
        <v>0</v>
      </c>
      <c r="K58" s="32">
        <f t="shared" si="42"/>
        <v>0</v>
      </c>
      <c r="L58" s="32">
        <f t="shared" si="43"/>
        <v>0</v>
      </c>
      <c r="M58" s="32">
        <f t="shared" si="44"/>
        <v>0</v>
      </c>
      <c r="N58" s="32">
        <f t="shared" si="45"/>
        <v>0</v>
      </c>
      <c r="O58" s="32">
        <f t="shared" si="46"/>
        <v>0</v>
      </c>
      <c r="P58" s="32">
        <f t="shared" si="47"/>
        <v>0</v>
      </c>
      <c r="Q58" s="32">
        <f t="shared" si="48"/>
        <v>0</v>
      </c>
      <c r="R58" s="32">
        <f t="shared" si="49"/>
        <v>0</v>
      </c>
      <c r="S58" s="32">
        <f t="shared" si="50"/>
        <v>0</v>
      </c>
      <c r="T58" s="32">
        <f t="shared" si="51"/>
        <v>30.991735537190085</v>
      </c>
      <c r="U58" s="32">
        <f t="shared" si="52"/>
        <v>0</v>
      </c>
      <c r="V58" s="32">
        <f t="shared" si="53"/>
        <v>0</v>
      </c>
      <c r="W58" s="32">
        <f t="shared" si="54"/>
        <v>0</v>
      </c>
      <c r="X58" s="32">
        <f t="shared" si="55"/>
        <v>0</v>
      </c>
      <c r="Y58" s="32">
        <f t="shared" si="56"/>
        <v>0</v>
      </c>
      <c r="Z58" s="32">
        <f t="shared" si="57"/>
        <v>12.396694214876034</v>
      </c>
      <c r="AA58" s="32">
        <f t="shared" si="58"/>
        <v>0</v>
      </c>
      <c r="AB58" s="31">
        <f t="shared" si="59"/>
        <v>0</v>
      </c>
      <c r="AC58" s="31">
        <f t="shared" si="60"/>
        <v>2.5</v>
      </c>
      <c r="AD58" s="32">
        <f t="shared" si="61"/>
        <v>0.5</v>
      </c>
      <c r="AE58" s="34">
        <f t="shared" si="62"/>
        <v>0.1</v>
      </c>
    </row>
    <row r="59" spans="1:31" ht="20.100000000000001" hidden="1" customHeight="1" x14ac:dyDescent="0.2">
      <c r="A59" s="39">
        <f t="shared" si="63"/>
        <v>5</v>
      </c>
      <c r="B59" s="31">
        <f t="shared" si="33"/>
        <v>0</v>
      </c>
      <c r="C59" s="31">
        <f t="shared" si="34"/>
        <v>0</v>
      </c>
      <c r="D59" s="31">
        <f t="shared" si="35"/>
        <v>0</v>
      </c>
      <c r="E59" s="31">
        <f t="shared" si="36"/>
        <v>0</v>
      </c>
      <c r="F59" s="31">
        <f t="shared" si="37"/>
        <v>0</v>
      </c>
      <c r="G59" s="31">
        <f t="shared" si="38"/>
        <v>0</v>
      </c>
      <c r="H59" s="32">
        <f t="shared" si="39"/>
        <v>0</v>
      </c>
      <c r="I59" s="32">
        <f t="shared" si="40"/>
        <v>0</v>
      </c>
      <c r="J59" s="32">
        <f t="shared" si="41"/>
        <v>0</v>
      </c>
      <c r="K59" s="32">
        <f t="shared" si="42"/>
        <v>0</v>
      </c>
      <c r="L59" s="32">
        <f t="shared" si="43"/>
        <v>0</v>
      </c>
      <c r="M59" s="32">
        <f t="shared" si="44"/>
        <v>0</v>
      </c>
      <c r="N59" s="32">
        <f t="shared" si="45"/>
        <v>84.710743801652896</v>
      </c>
      <c r="O59" s="32">
        <f t="shared" si="46"/>
        <v>0</v>
      </c>
      <c r="P59" s="32">
        <f t="shared" si="47"/>
        <v>0</v>
      </c>
      <c r="Q59" s="32">
        <f t="shared" si="48"/>
        <v>0</v>
      </c>
      <c r="R59" s="32">
        <f t="shared" si="49"/>
        <v>0</v>
      </c>
      <c r="S59" s="32">
        <f t="shared" si="50"/>
        <v>0</v>
      </c>
      <c r="T59" s="32">
        <f t="shared" si="51"/>
        <v>0</v>
      </c>
      <c r="U59" s="32">
        <f t="shared" si="52"/>
        <v>0</v>
      </c>
      <c r="V59" s="32">
        <f t="shared" si="53"/>
        <v>0</v>
      </c>
      <c r="W59" s="32">
        <f t="shared" si="54"/>
        <v>0</v>
      </c>
      <c r="X59" s="32">
        <f t="shared" si="55"/>
        <v>0</v>
      </c>
      <c r="Y59" s="32">
        <f t="shared" si="56"/>
        <v>0</v>
      </c>
      <c r="Z59" s="32">
        <f t="shared" si="57"/>
        <v>12.396694214876034</v>
      </c>
      <c r="AA59" s="32">
        <f t="shared" si="58"/>
        <v>0</v>
      </c>
      <c r="AB59" s="31">
        <f t="shared" si="59"/>
        <v>0</v>
      </c>
      <c r="AC59" s="31">
        <f t="shared" si="60"/>
        <v>2.5</v>
      </c>
      <c r="AD59" s="32">
        <f t="shared" si="61"/>
        <v>0.6</v>
      </c>
      <c r="AE59" s="34">
        <f t="shared" si="62"/>
        <v>0.1</v>
      </c>
    </row>
    <row r="60" spans="1:31" ht="20.100000000000001" hidden="1" customHeight="1" x14ac:dyDescent="0.2">
      <c r="A60" s="39">
        <f t="shared" si="63"/>
        <v>6</v>
      </c>
      <c r="B60" s="31">
        <f t="shared" si="33"/>
        <v>0</v>
      </c>
      <c r="C60" s="31">
        <f t="shared" si="34"/>
        <v>0</v>
      </c>
      <c r="D60" s="31">
        <f t="shared" si="35"/>
        <v>0</v>
      </c>
      <c r="E60" s="31">
        <f t="shared" si="36"/>
        <v>0</v>
      </c>
      <c r="F60" s="31">
        <f t="shared" si="37"/>
        <v>0</v>
      </c>
      <c r="G60" s="31">
        <f t="shared" si="38"/>
        <v>0</v>
      </c>
      <c r="H60" s="32">
        <f t="shared" si="39"/>
        <v>0</v>
      </c>
      <c r="I60" s="32">
        <f t="shared" si="40"/>
        <v>0</v>
      </c>
      <c r="J60" s="32">
        <f t="shared" si="41"/>
        <v>0</v>
      </c>
      <c r="K60" s="32">
        <f t="shared" si="42"/>
        <v>0</v>
      </c>
      <c r="L60" s="32">
        <f t="shared" si="43"/>
        <v>0</v>
      </c>
      <c r="M60" s="32">
        <f t="shared" si="44"/>
        <v>0</v>
      </c>
      <c r="N60" s="32">
        <f t="shared" si="45"/>
        <v>0</v>
      </c>
      <c r="O60" s="32">
        <f t="shared" si="46"/>
        <v>0</v>
      </c>
      <c r="P60" s="32">
        <f t="shared" si="47"/>
        <v>0</v>
      </c>
      <c r="Q60" s="32">
        <f t="shared" si="48"/>
        <v>0</v>
      </c>
      <c r="R60" s="32">
        <f t="shared" si="49"/>
        <v>0</v>
      </c>
      <c r="S60" s="32">
        <f t="shared" si="50"/>
        <v>0</v>
      </c>
      <c r="T60" s="32">
        <f t="shared" si="51"/>
        <v>0</v>
      </c>
      <c r="U60" s="32">
        <f t="shared" si="52"/>
        <v>0</v>
      </c>
      <c r="V60" s="32">
        <f t="shared" si="53"/>
        <v>0</v>
      </c>
      <c r="W60" s="32">
        <f t="shared" si="54"/>
        <v>0</v>
      </c>
      <c r="X60" s="32">
        <f t="shared" si="55"/>
        <v>0</v>
      </c>
      <c r="Y60" s="32">
        <f t="shared" si="56"/>
        <v>0</v>
      </c>
      <c r="Z60" s="32">
        <f t="shared" si="57"/>
        <v>0</v>
      </c>
      <c r="AA60" s="32">
        <f t="shared" si="58"/>
        <v>0</v>
      </c>
      <c r="AB60" s="31">
        <f t="shared" si="59"/>
        <v>0</v>
      </c>
      <c r="AC60" s="31">
        <f t="shared" si="60"/>
        <v>0</v>
      </c>
      <c r="AD60" s="32">
        <f t="shared" si="61"/>
        <v>0</v>
      </c>
      <c r="AE60" s="34">
        <f t="shared" si="62"/>
        <v>0</v>
      </c>
    </row>
    <row r="61" spans="1:31" ht="20.100000000000001" hidden="1" customHeight="1" x14ac:dyDescent="0.2">
      <c r="A61" s="39">
        <f t="shared" si="63"/>
        <v>7</v>
      </c>
      <c r="B61" s="31">
        <f t="shared" si="33"/>
        <v>0</v>
      </c>
      <c r="C61" s="31">
        <f t="shared" si="34"/>
        <v>0</v>
      </c>
      <c r="D61" s="31">
        <f t="shared" si="35"/>
        <v>0</v>
      </c>
      <c r="E61" s="31">
        <f t="shared" si="36"/>
        <v>0</v>
      </c>
      <c r="F61" s="31">
        <f t="shared" si="37"/>
        <v>0</v>
      </c>
      <c r="G61" s="31">
        <f t="shared" si="38"/>
        <v>0</v>
      </c>
      <c r="H61" s="32">
        <f t="shared" si="39"/>
        <v>0</v>
      </c>
      <c r="I61" s="32">
        <f t="shared" si="40"/>
        <v>0</v>
      </c>
      <c r="J61" s="32">
        <f t="shared" si="41"/>
        <v>0</v>
      </c>
      <c r="K61" s="32">
        <f t="shared" si="42"/>
        <v>0</v>
      </c>
      <c r="L61" s="32">
        <f t="shared" si="43"/>
        <v>0</v>
      </c>
      <c r="M61" s="32">
        <f t="shared" si="44"/>
        <v>0</v>
      </c>
      <c r="N61" s="32">
        <f t="shared" si="45"/>
        <v>0</v>
      </c>
      <c r="O61" s="32">
        <f t="shared" si="46"/>
        <v>0</v>
      </c>
      <c r="P61" s="32">
        <f t="shared" si="47"/>
        <v>0</v>
      </c>
      <c r="Q61" s="32">
        <f t="shared" si="48"/>
        <v>0</v>
      </c>
      <c r="R61" s="32">
        <f t="shared" si="49"/>
        <v>0</v>
      </c>
      <c r="S61" s="32">
        <f t="shared" si="50"/>
        <v>0</v>
      </c>
      <c r="T61" s="32">
        <f t="shared" si="51"/>
        <v>0</v>
      </c>
      <c r="U61" s="32">
        <f t="shared" si="52"/>
        <v>0</v>
      </c>
      <c r="V61" s="32">
        <f t="shared" si="53"/>
        <v>0</v>
      </c>
      <c r="W61" s="32">
        <f t="shared" si="54"/>
        <v>0</v>
      </c>
      <c r="X61" s="32">
        <f t="shared" si="55"/>
        <v>0</v>
      </c>
      <c r="Y61" s="32">
        <f t="shared" si="56"/>
        <v>0</v>
      </c>
      <c r="Z61" s="32">
        <f t="shared" si="57"/>
        <v>0</v>
      </c>
      <c r="AA61" s="32">
        <f t="shared" si="58"/>
        <v>0</v>
      </c>
      <c r="AB61" s="31">
        <f t="shared" si="59"/>
        <v>0</v>
      </c>
      <c r="AC61" s="31">
        <f t="shared" si="60"/>
        <v>0</v>
      </c>
      <c r="AD61" s="32">
        <f t="shared" si="61"/>
        <v>0</v>
      </c>
      <c r="AE61" s="34">
        <f t="shared" si="62"/>
        <v>0</v>
      </c>
    </row>
    <row r="62" spans="1:31" ht="20.100000000000001" hidden="1" customHeight="1" x14ac:dyDescent="0.2">
      <c r="A62" s="39">
        <f t="shared" si="63"/>
        <v>8</v>
      </c>
      <c r="B62" s="31">
        <f t="shared" si="33"/>
        <v>0</v>
      </c>
      <c r="C62" s="31">
        <f t="shared" si="34"/>
        <v>0</v>
      </c>
      <c r="D62" s="31">
        <f t="shared" si="35"/>
        <v>0</v>
      </c>
      <c r="E62" s="31">
        <f t="shared" si="36"/>
        <v>0</v>
      </c>
      <c r="F62" s="31">
        <f t="shared" si="37"/>
        <v>0</v>
      </c>
      <c r="G62" s="31">
        <f t="shared" si="38"/>
        <v>0</v>
      </c>
      <c r="H62" s="32">
        <f t="shared" si="39"/>
        <v>0</v>
      </c>
      <c r="I62" s="32">
        <f t="shared" si="40"/>
        <v>0</v>
      </c>
      <c r="J62" s="32">
        <f t="shared" si="41"/>
        <v>0</v>
      </c>
      <c r="K62" s="32">
        <f t="shared" si="42"/>
        <v>0</v>
      </c>
      <c r="L62" s="32">
        <f t="shared" si="43"/>
        <v>0</v>
      </c>
      <c r="M62" s="32">
        <f t="shared" si="44"/>
        <v>0</v>
      </c>
      <c r="N62" s="32">
        <f t="shared" si="45"/>
        <v>0</v>
      </c>
      <c r="O62" s="32">
        <f t="shared" si="46"/>
        <v>0</v>
      </c>
      <c r="P62" s="32">
        <f t="shared" si="47"/>
        <v>0</v>
      </c>
      <c r="Q62" s="32">
        <f t="shared" si="48"/>
        <v>0</v>
      </c>
      <c r="R62" s="32">
        <f t="shared" si="49"/>
        <v>0</v>
      </c>
      <c r="S62" s="32">
        <f t="shared" si="50"/>
        <v>0</v>
      </c>
      <c r="T62" s="32">
        <f t="shared" si="51"/>
        <v>0</v>
      </c>
      <c r="U62" s="32">
        <f t="shared" si="52"/>
        <v>0</v>
      </c>
      <c r="V62" s="32">
        <f t="shared" si="53"/>
        <v>0</v>
      </c>
      <c r="W62" s="32">
        <f t="shared" si="54"/>
        <v>0</v>
      </c>
      <c r="X62" s="32">
        <f t="shared" si="55"/>
        <v>0</v>
      </c>
      <c r="Y62" s="32">
        <f t="shared" si="56"/>
        <v>0</v>
      </c>
      <c r="Z62" s="32">
        <f t="shared" si="57"/>
        <v>0</v>
      </c>
      <c r="AA62" s="32">
        <f t="shared" si="58"/>
        <v>0</v>
      </c>
      <c r="AB62" s="31">
        <f t="shared" si="59"/>
        <v>0</v>
      </c>
      <c r="AC62" s="31">
        <f t="shared" si="60"/>
        <v>0</v>
      </c>
      <c r="AD62" s="32">
        <f t="shared" si="61"/>
        <v>0</v>
      </c>
      <c r="AE62" s="34">
        <f t="shared" si="62"/>
        <v>0</v>
      </c>
    </row>
    <row r="63" spans="1:31" ht="20.100000000000001" hidden="1" customHeight="1" x14ac:dyDescent="0.2">
      <c r="A63" s="39">
        <f t="shared" si="63"/>
        <v>9</v>
      </c>
      <c r="B63" s="31">
        <f t="shared" si="33"/>
        <v>0</v>
      </c>
      <c r="C63" s="31">
        <f t="shared" si="34"/>
        <v>0</v>
      </c>
      <c r="D63" s="31">
        <f t="shared" si="35"/>
        <v>0</v>
      </c>
      <c r="E63" s="31">
        <f t="shared" si="36"/>
        <v>0</v>
      </c>
      <c r="F63" s="31">
        <f t="shared" si="37"/>
        <v>0</v>
      </c>
      <c r="G63" s="31">
        <f t="shared" si="38"/>
        <v>0</v>
      </c>
      <c r="H63" s="32">
        <f t="shared" si="39"/>
        <v>0</v>
      </c>
      <c r="I63" s="32">
        <f t="shared" si="40"/>
        <v>0</v>
      </c>
      <c r="J63" s="32">
        <f t="shared" si="41"/>
        <v>0</v>
      </c>
      <c r="K63" s="32">
        <f t="shared" si="42"/>
        <v>0</v>
      </c>
      <c r="L63" s="32">
        <f t="shared" si="43"/>
        <v>0</v>
      </c>
      <c r="M63" s="32">
        <f t="shared" si="44"/>
        <v>0</v>
      </c>
      <c r="N63" s="32">
        <f t="shared" si="45"/>
        <v>0</v>
      </c>
      <c r="O63" s="32">
        <f t="shared" si="46"/>
        <v>0</v>
      </c>
      <c r="P63" s="32">
        <f t="shared" si="47"/>
        <v>0</v>
      </c>
      <c r="Q63" s="32">
        <f t="shared" si="48"/>
        <v>0</v>
      </c>
      <c r="R63" s="32">
        <f t="shared" si="49"/>
        <v>0</v>
      </c>
      <c r="S63" s="32">
        <f t="shared" si="50"/>
        <v>0</v>
      </c>
      <c r="T63" s="32">
        <f t="shared" si="51"/>
        <v>0</v>
      </c>
      <c r="U63" s="32">
        <f t="shared" si="52"/>
        <v>0</v>
      </c>
      <c r="V63" s="32">
        <f t="shared" si="53"/>
        <v>0</v>
      </c>
      <c r="W63" s="32">
        <f t="shared" si="54"/>
        <v>0</v>
      </c>
      <c r="X63" s="32">
        <f t="shared" si="55"/>
        <v>0</v>
      </c>
      <c r="Y63" s="32">
        <f t="shared" si="56"/>
        <v>0</v>
      </c>
      <c r="Z63" s="32">
        <f t="shared" si="57"/>
        <v>0</v>
      </c>
      <c r="AA63" s="32">
        <f t="shared" si="58"/>
        <v>0</v>
      </c>
      <c r="AB63" s="31">
        <f t="shared" si="59"/>
        <v>0</v>
      </c>
      <c r="AC63" s="31">
        <f t="shared" si="60"/>
        <v>0</v>
      </c>
      <c r="AD63" s="32">
        <f t="shared" si="61"/>
        <v>0</v>
      </c>
      <c r="AE63" s="34">
        <f t="shared" si="62"/>
        <v>0</v>
      </c>
    </row>
    <row r="64" spans="1:31" ht="20.100000000000001" hidden="1" customHeight="1" x14ac:dyDescent="0.2">
      <c r="A64" s="39">
        <f t="shared" si="63"/>
        <v>10</v>
      </c>
      <c r="B64" s="31">
        <f t="shared" si="33"/>
        <v>0</v>
      </c>
      <c r="C64" s="31">
        <f t="shared" si="34"/>
        <v>0</v>
      </c>
      <c r="D64" s="31">
        <f t="shared" si="35"/>
        <v>0</v>
      </c>
      <c r="E64" s="31">
        <f t="shared" si="36"/>
        <v>0</v>
      </c>
      <c r="F64" s="31">
        <f t="shared" si="37"/>
        <v>0</v>
      </c>
      <c r="G64" s="31">
        <f t="shared" si="38"/>
        <v>0</v>
      </c>
      <c r="H64" s="32">
        <f t="shared" si="39"/>
        <v>0</v>
      </c>
      <c r="I64" s="32">
        <f t="shared" si="40"/>
        <v>0</v>
      </c>
      <c r="J64" s="32">
        <f t="shared" si="41"/>
        <v>0</v>
      </c>
      <c r="K64" s="32">
        <f t="shared" si="42"/>
        <v>0</v>
      </c>
      <c r="L64" s="32">
        <f t="shared" si="43"/>
        <v>0</v>
      </c>
      <c r="M64" s="32">
        <f t="shared" si="44"/>
        <v>0</v>
      </c>
      <c r="N64" s="32">
        <f t="shared" si="45"/>
        <v>0</v>
      </c>
      <c r="O64" s="32">
        <f t="shared" si="46"/>
        <v>0</v>
      </c>
      <c r="P64" s="32">
        <f t="shared" si="47"/>
        <v>0</v>
      </c>
      <c r="Q64" s="32">
        <f t="shared" si="48"/>
        <v>0</v>
      </c>
      <c r="R64" s="32">
        <f t="shared" si="49"/>
        <v>0</v>
      </c>
      <c r="S64" s="32">
        <f t="shared" si="50"/>
        <v>0</v>
      </c>
      <c r="T64" s="32">
        <f t="shared" si="51"/>
        <v>0</v>
      </c>
      <c r="U64" s="32">
        <f t="shared" si="52"/>
        <v>0</v>
      </c>
      <c r="V64" s="32">
        <f t="shared" si="53"/>
        <v>0</v>
      </c>
      <c r="W64" s="32">
        <f t="shared" si="54"/>
        <v>0</v>
      </c>
      <c r="X64" s="32">
        <f t="shared" si="55"/>
        <v>0</v>
      </c>
      <c r="Y64" s="32">
        <f t="shared" si="56"/>
        <v>0</v>
      </c>
      <c r="Z64" s="32">
        <f t="shared" si="57"/>
        <v>0</v>
      </c>
      <c r="AA64" s="32">
        <f t="shared" si="58"/>
        <v>0</v>
      </c>
      <c r="AB64" s="31">
        <f t="shared" si="59"/>
        <v>0</v>
      </c>
      <c r="AC64" s="31">
        <f t="shared" si="60"/>
        <v>0</v>
      </c>
      <c r="AD64" s="32">
        <f t="shared" si="61"/>
        <v>0</v>
      </c>
      <c r="AE64" s="34">
        <f t="shared" si="62"/>
        <v>0</v>
      </c>
    </row>
    <row r="65" spans="1:31" ht="20.100000000000001" hidden="1" customHeight="1" x14ac:dyDescent="0.2">
      <c r="A65" s="39">
        <f t="shared" si="63"/>
        <v>11</v>
      </c>
      <c r="B65" s="31">
        <f t="shared" si="33"/>
        <v>0</v>
      </c>
      <c r="C65" s="31">
        <f t="shared" si="34"/>
        <v>0</v>
      </c>
      <c r="D65" s="31">
        <f t="shared" si="35"/>
        <v>0</v>
      </c>
      <c r="E65" s="31">
        <f t="shared" si="36"/>
        <v>0</v>
      </c>
      <c r="F65" s="31">
        <f t="shared" si="37"/>
        <v>0</v>
      </c>
      <c r="G65" s="31">
        <f t="shared" si="38"/>
        <v>0</v>
      </c>
      <c r="H65" s="32">
        <f t="shared" si="39"/>
        <v>0</v>
      </c>
      <c r="I65" s="32">
        <f t="shared" si="40"/>
        <v>0</v>
      </c>
      <c r="J65" s="32">
        <f t="shared" si="41"/>
        <v>0</v>
      </c>
      <c r="K65" s="32">
        <f t="shared" si="42"/>
        <v>0</v>
      </c>
      <c r="L65" s="32">
        <f t="shared" si="43"/>
        <v>0</v>
      </c>
      <c r="M65" s="32">
        <f t="shared" si="44"/>
        <v>0</v>
      </c>
      <c r="N65" s="32">
        <f t="shared" si="45"/>
        <v>0</v>
      </c>
      <c r="O65" s="32">
        <f t="shared" si="46"/>
        <v>0</v>
      </c>
      <c r="P65" s="32">
        <f t="shared" si="47"/>
        <v>0</v>
      </c>
      <c r="Q65" s="32">
        <f t="shared" si="48"/>
        <v>0</v>
      </c>
      <c r="R65" s="32">
        <f t="shared" si="49"/>
        <v>0</v>
      </c>
      <c r="S65" s="32">
        <f t="shared" si="50"/>
        <v>0</v>
      </c>
      <c r="T65" s="32">
        <f t="shared" si="51"/>
        <v>0</v>
      </c>
      <c r="U65" s="32">
        <f t="shared" si="52"/>
        <v>0</v>
      </c>
      <c r="V65" s="32">
        <f t="shared" si="53"/>
        <v>0</v>
      </c>
      <c r="W65" s="32">
        <f t="shared" si="54"/>
        <v>0</v>
      </c>
      <c r="X65" s="32">
        <f t="shared" si="55"/>
        <v>0</v>
      </c>
      <c r="Y65" s="32">
        <f t="shared" si="56"/>
        <v>0</v>
      </c>
      <c r="Z65" s="32">
        <f t="shared" si="57"/>
        <v>0</v>
      </c>
      <c r="AA65" s="32">
        <f t="shared" si="58"/>
        <v>0</v>
      </c>
      <c r="AB65" s="31">
        <f t="shared" si="59"/>
        <v>0</v>
      </c>
      <c r="AC65" s="31">
        <f t="shared" si="60"/>
        <v>0</v>
      </c>
      <c r="AD65" s="32">
        <f t="shared" si="61"/>
        <v>0</v>
      </c>
      <c r="AE65" s="34">
        <f t="shared" si="62"/>
        <v>0</v>
      </c>
    </row>
    <row r="66" spans="1:31" ht="20.100000000000001" hidden="1" customHeight="1" x14ac:dyDescent="0.2">
      <c r="A66" s="39">
        <f t="shared" si="63"/>
        <v>12</v>
      </c>
      <c r="B66" s="31">
        <f t="shared" si="33"/>
        <v>0</v>
      </c>
      <c r="C66" s="31">
        <f t="shared" si="34"/>
        <v>0</v>
      </c>
      <c r="D66" s="31">
        <f t="shared" si="35"/>
        <v>0</v>
      </c>
      <c r="E66" s="31">
        <f t="shared" si="36"/>
        <v>0</v>
      </c>
      <c r="F66" s="31">
        <f t="shared" si="37"/>
        <v>0</v>
      </c>
      <c r="G66" s="31">
        <f t="shared" si="38"/>
        <v>0</v>
      </c>
      <c r="H66" s="32">
        <f t="shared" si="39"/>
        <v>0</v>
      </c>
      <c r="I66" s="32">
        <f t="shared" si="40"/>
        <v>0</v>
      </c>
      <c r="J66" s="32">
        <f t="shared" si="41"/>
        <v>0</v>
      </c>
      <c r="K66" s="32">
        <f t="shared" si="42"/>
        <v>0</v>
      </c>
      <c r="L66" s="32">
        <f t="shared" si="43"/>
        <v>0</v>
      </c>
      <c r="M66" s="32">
        <f t="shared" si="44"/>
        <v>0</v>
      </c>
      <c r="N66" s="32">
        <f t="shared" si="45"/>
        <v>0</v>
      </c>
      <c r="O66" s="32">
        <f t="shared" si="46"/>
        <v>0</v>
      </c>
      <c r="P66" s="32">
        <f t="shared" si="47"/>
        <v>0</v>
      </c>
      <c r="Q66" s="32">
        <f t="shared" si="48"/>
        <v>0</v>
      </c>
      <c r="R66" s="32">
        <f t="shared" si="49"/>
        <v>0</v>
      </c>
      <c r="S66" s="32">
        <f t="shared" si="50"/>
        <v>0</v>
      </c>
      <c r="T66" s="32">
        <f t="shared" si="51"/>
        <v>0</v>
      </c>
      <c r="U66" s="32">
        <f t="shared" si="52"/>
        <v>0</v>
      </c>
      <c r="V66" s="32">
        <f t="shared" si="53"/>
        <v>0</v>
      </c>
      <c r="W66" s="32">
        <f t="shared" si="54"/>
        <v>0</v>
      </c>
      <c r="X66" s="32">
        <f t="shared" si="55"/>
        <v>0</v>
      </c>
      <c r="Y66" s="32">
        <f t="shared" si="56"/>
        <v>0</v>
      </c>
      <c r="Z66" s="32">
        <f t="shared" si="57"/>
        <v>0</v>
      </c>
      <c r="AA66" s="32">
        <f t="shared" si="58"/>
        <v>0</v>
      </c>
      <c r="AB66" s="31">
        <f t="shared" si="59"/>
        <v>0</v>
      </c>
      <c r="AC66" s="31">
        <f t="shared" si="60"/>
        <v>0</v>
      </c>
      <c r="AD66" s="32">
        <f t="shared" si="61"/>
        <v>0</v>
      </c>
      <c r="AE66" s="34">
        <f t="shared" si="62"/>
        <v>0</v>
      </c>
    </row>
    <row r="67" spans="1:31" ht="20.100000000000001" hidden="1" customHeight="1" x14ac:dyDescent="0.2">
      <c r="A67" s="39">
        <f t="shared" si="63"/>
        <v>13</v>
      </c>
      <c r="B67" s="31">
        <f t="shared" si="33"/>
        <v>0</v>
      </c>
      <c r="C67" s="31">
        <f t="shared" si="34"/>
        <v>0</v>
      </c>
      <c r="D67" s="31">
        <f t="shared" si="35"/>
        <v>0</v>
      </c>
      <c r="E67" s="31">
        <f t="shared" si="36"/>
        <v>0</v>
      </c>
      <c r="F67" s="31">
        <f t="shared" si="37"/>
        <v>0</v>
      </c>
      <c r="G67" s="31">
        <f t="shared" si="38"/>
        <v>0</v>
      </c>
      <c r="H67" s="32">
        <f t="shared" si="39"/>
        <v>0</v>
      </c>
      <c r="I67" s="32">
        <f t="shared" si="40"/>
        <v>0</v>
      </c>
      <c r="J67" s="32">
        <f t="shared" si="41"/>
        <v>0</v>
      </c>
      <c r="K67" s="32">
        <f t="shared" si="42"/>
        <v>0</v>
      </c>
      <c r="L67" s="32">
        <f t="shared" si="43"/>
        <v>0</v>
      </c>
      <c r="M67" s="32">
        <f t="shared" si="44"/>
        <v>0</v>
      </c>
      <c r="N67" s="32">
        <f t="shared" si="45"/>
        <v>0</v>
      </c>
      <c r="O67" s="32">
        <f t="shared" si="46"/>
        <v>0</v>
      </c>
      <c r="P67" s="32">
        <f t="shared" si="47"/>
        <v>0</v>
      </c>
      <c r="Q67" s="32">
        <f t="shared" si="48"/>
        <v>0</v>
      </c>
      <c r="R67" s="32">
        <f t="shared" si="49"/>
        <v>0</v>
      </c>
      <c r="S67" s="32">
        <f t="shared" si="50"/>
        <v>0</v>
      </c>
      <c r="T67" s="32">
        <f t="shared" si="51"/>
        <v>0</v>
      </c>
      <c r="U67" s="32">
        <f t="shared" si="52"/>
        <v>0</v>
      </c>
      <c r="V67" s="32">
        <f t="shared" si="53"/>
        <v>0</v>
      </c>
      <c r="W67" s="32">
        <f t="shared" si="54"/>
        <v>0</v>
      </c>
      <c r="X67" s="32">
        <f t="shared" si="55"/>
        <v>0</v>
      </c>
      <c r="Y67" s="32">
        <f t="shared" si="56"/>
        <v>0</v>
      </c>
      <c r="Z67" s="32">
        <f t="shared" si="57"/>
        <v>0</v>
      </c>
      <c r="AA67" s="32">
        <f t="shared" si="58"/>
        <v>0</v>
      </c>
      <c r="AB67" s="31">
        <f t="shared" si="59"/>
        <v>0</v>
      </c>
      <c r="AC67" s="31">
        <f t="shared" si="60"/>
        <v>0</v>
      </c>
      <c r="AD67" s="32">
        <f t="shared" si="61"/>
        <v>0</v>
      </c>
      <c r="AE67" s="34">
        <f t="shared" si="62"/>
        <v>0</v>
      </c>
    </row>
    <row r="68" spans="1:31" ht="20.100000000000001" hidden="1" customHeight="1" x14ac:dyDescent="0.2">
      <c r="A68" s="39">
        <f t="shared" si="63"/>
        <v>14</v>
      </c>
      <c r="B68" s="31">
        <f t="shared" si="33"/>
        <v>0</v>
      </c>
      <c r="C68" s="31">
        <f t="shared" si="34"/>
        <v>0</v>
      </c>
      <c r="D68" s="31">
        <f t="shared" si="35"/>
        <v>0</v>
      </c>
      <c r="E68" s="31">
        <f t="shared" si="36"/>
        <v>0</v>
      </c>
      <c r="F68" s="31">
        <f t="shared" si="37"/>
        <v>0</v>
      </c>
      <c r="G68" s="31">
        <f t="shared" si="38"/>
        <v>0</v>
      </c>
      <c r="H68" s="32">
        <f t="shared" si="39"/>
        <v>0</v>
      </c>
      <c r="I68" s="32">
        <f t="shared" si="40"/>
        <v>0</v>
      </c>
      <c r="J68" s="32">
        <f t="shared" si="41"/>
        <v>0</v>
      </c>
      <c r="K68" s="32">
        <f t="shared" si="42"/>
        <v>0</v>
      </c>
      <c r="L68" s="32">
        <f t="shared" si="43"/>
        <v>0</v>
      </c>
      <c r="M68" s="32">
        <f t="shared" si="44"/>
        <v>0</v>
      </c>
      <c r="N68" s="32">
        <f t="shared" si="45"/>
        <v>0</v>
      </c>
      <c r="O68" s="32">
        <f t="shared" si="46"/>
        <v>0</v>
      </c>
      <c r="P68" s="32">
        <f t="shared" si="47"/>
        <v>0</v>
      </c>
      <c r="Q68" s="32">
        <f t="shared" si="48"/>
        <v>0</v>
      </c>
      <c r="R68" s="32">
        <f t="shared" si="49"/>
        <v>0</v>
      </c>
      <c r="S68" s="32">
        <f t="shared" si="50"/>
        <v>0</v>
      </c>
      <c r="T68" s="32">
        <f t="shared" si="51"/>
        <v>0</v>
      </c>
      <c r="U68" s="32">
        <f t="shared" si="52"/>
        <v>0</v>
      </c>
      <c r="V68" s="32">
        <f t="shared" si="53"/>
        <v>0</v>
      </c>
      <c r="W68" s="32">
        <f t="shared" si="54"/>
        <v>0</v>
      </c>
      <c r="X68" s="32">
        <f t="shared" si="55"/>
        <v>0</v>
      </c>
      <c r="Y68" s="32">
        <f t="shared" si="56"/>
        <v>0</v>
      </c>
      <c r="Z68" s="32">
        <f t="shared" si="57"/>
        <v>0</v>
      </c>
      <c r="AA68" s="32">
        <f t="shared" si="58"/>
        <v>0</v>
      </c>
      <c r="AB68" s="31">
        <f t="shared" si="59"/>
        <v>0</v>
      </c>
      <c r="AC68" s="31">
        <f t="shared" si="60"/>
        <v>0</v>
      </c>
      <c r="AD68" s="32">
        <f t="shared" si="61"/>
        <v>0</v>
      </c>
      <c r="AE68" s="34">
        <f t="shared" si="62"/>
        <v>0</v>
      </c>
    </row>
    <row r="69" spans="1:31" ht="20.100000000000001" hidden="1" customHeight="1" x14ac:dyDescent="0.2">
      <c r="A69" s="39">
        <f t="shared" si="63"/>
        <v>15</v>
      </c>
      <c r="B69" s="31">
        <f t="shared" si="33"/>
        <v>0</v>
      </c>
      <c r="C69" s="31">
        <f t="shared" si="34"/>
        <v>0</v>
      </c>
      <c r="D69" s="31">
        <f t="shared" si="35"/>
        <v>0</v>
      </c>
      <c r="E69" s="31">
        <f t="shared" si="36"/>
        <v>0</v>
      </c>
      <c r="F69" s="31">
        <f t="shared" si="37"/>
        <v>0</v>
      </c>
      <c r="G69" s="31">
        <f t="shared" si="38"/>
        <v>0</v>
      </c>
      <c r="H69" s="32">
        <f t="shared" si="39"/>
        <v>0</v>
      </c>
      <c r="I69" s="32">
        <f t="shared" si="40"/>
        <v>0</v>
      </c>
      <c r="J69" s="32">
        <f t="shared" si="41"/>
        <v>0</v>
      </c>
      <c r="K69" s="32">
        <f t="shared" si="42"/>
        <v>0</v>
      </c>
      <c r="L69" s="32">
        <f t="shared" si="43"/>
        <v>0</v>
      </c>
      <c r="M69" s="32">
        <f t="shared" si="44"/>
        <v>0</v>
      </c>
      <c r="N69" s="32">
        <f t="shared" si="45"/>
        <v>0</v>
      </c>
      <c r="O69" s="32">
        <f t="shared" si="46"/>
        <v>0</v>
      </c>
      <c r="P69" s="32">
        <f t="shared" si="47"/>
        <v>0</v>
      </c>
      <c r="Q69" s="32">
        <f t="shared" si="48"/>
        <v>0</v>
      </c>
      <c r="R69" s="32">
        <f t="shared" si="49"/>
        <v>0</v>
      </c>
      <c r="S69" s="32">
        <f t="shared" si="50"/>
        <v>0</v>
      </c>
      <c r="T69" s="32">
        <f t="shared" si="51"/>
        <v>0</v>
      </c>
      <c r="U69" s="32">
        <f t="shared" si="52"/>
        <v>0</v>
      </c>
      <c r="V69" s="32">
        <f t="shared" si="53"/>
        <v>0</v>
      </c>
      <c r="W69" s="32">
        <f t="shared" si="54"/>
        <v>0</v>
      </c>
      <c r="X69" s="32">
        <f t="shared" si="55"/>
        <v>0</v>
      </c>
      <c r="Y69" s="32">
        <f t="shared" si="56"/>
        <v>0</v>
      </c>
      <c r="Z69" s="32">
        <f t="shared" si="57"/>
        <v>0</v>
      </c>
      <c r="AA69" s="32">
        <f t="shared" si="58"/>
        <v>0</v>
      </c>
      <c r="AB69" s="31">
        <f t="shared" si="59"/>
        <v>0</v>
      </c>
      <c r="AC69" s="31">
        <f t="shared" si="60"/>
        <v>0</v>
      </c>
      <c r="AD69" s="32">
        <f t="shared" si="61"/>
        <v>0</v>
      </c>
      <c r="AE69" s="34">
        <f t="shared" si="62"/>
        <v>0</v>
      </c>
    </row>
    <row r="70" spans="1:31" ht="20.100000000000001" hidden="1" customHeight="1" x14ac:dyDescent="0.2">
      <c r="A70" s="39">
        <f t="shared" si="63"/>
        <v>16</v>
      </c>
      <c r="B70" s="31">
        <f t="shared" si="33"/>
        <v>0</v>
      </c>
      <c r="C70" s="31">
        <f t="shared" si="34"/>
        <v>0</v>
      </c>
      <c r="D70" s="31">
        <f t="shared" si="35"/>
        <v>0</v>
      </c>
      <c r="E70" s="31">
        <f t="shared" si="36"/>
        <v>0</v>
      </c>
      <c r="F70" s="31">
        <f t="shared" si="37"/>
        <v>0</v>
      </c>
      <c r="G70" s="31">
        <f t="shared" si="38"/>
        <v>0</v>
      </c>
      <c r="H70" s="32">
        <f t="shared" si="39"/>
        <v>0</v>
      </c>
      <c r="I70" s="32">
        <f t="shared" si="40"/>
        <v>0</v>
      </c>
      <c r="J70" s="32">
        <f t="shared" si="41"/>
        <v>0</v>
      </c>
      <c r="K70" s="32">
        <f t="shared" si="42"/>
        <v>0</v>
      </c>
      <c r="L70" s="32">
        <f t="shared" si="43"/>
        <v>0</v>
      </c>
      <c r="M70" s="32">
        <f t="shared" si="44"/>
        <v>0</v>
      </c>
      <c r="N70" s="32">
        <f t="shared" si="45"/>
        <v>0</v>
      </c>
      <c r="O70" s="32">
        <f t="shared" si="46"/>
        <v>0</v>
      </c>
      <c r="P70" s="32">
        <f t="shared" si="47"/>
        <v>0</v>
      </c>
      <c r="Q70" s="32">
        <f t="shared" si="48"/>
        <v>0</v>
      </c>
      <c r="R70" s="32">
        <f t="shared" si="49"/>
        <v>0</v>
      </c>
      <c r="S70" s="32">
        <f t="shared" si="50"/>
        <v>0</v>
      </c>
      <c r="T70" s="32">
        <f t="shared" si="51"/>
        <v>0</v>
      </c>
      <c r="U70" s="32">
        <f t="shared" si="52"/>
        <v>0</v>
      </c>
      <c r="V70" s="32">
        <f t="shared" si="53"/>
        <v>0</v>
      </c>
      <c r="W70" s="32">
        <f t="shared" si="54"/>
        <v>0</v>
      </c>
      <c r="X70" s="32">
        <f t="shared" si="55"/>
        <v>0</v>
      </c>
      <c r="Y70" s="32">
        <f t="shared" si="56"/>
        <v>0</v>
      </c>
      <c r="Z70" s="32">
        <f t="shared" si="57"/>
        <v>0</v>
      </c>
      <c r="AA70" s="32">
        <f t="shared" si="58"/>
        <v>0</v>
      </c>
      <c r="AB70" s="31">
        <f t="shared" si="59"/>
        <v>0</v>
      </c>
      <c r="AC70" s="31">
        <f t="shared" si="60"/>
        <v>0</v>
      </c>
      <c r="AD70" s="32">
        <f t="shared" si="61"/>
        <v>0</v>
      </c>
      <c r="AE70" s="34">
        <f t="shared" si="62"/>
        <v>0</v>
      </c>
    </row>
    <row r="71" spans="1:31" ht="20.100000000000001" hidden="1" customHeight="1" x14ac:dyDescent="0.2">
      <c r="A71" s="39">
        <f t="shared" si="63"/>
        <v>17</v>
      </c>
      <c r="B71" s="31">
        <f t="shared" si="33"/>
        <v>0</v>
      </c>
      <c r="C71" s="31">
        <f t="shared" si="34"/>
        <v>0</v>
      </c>
      <c r="D71" s="31">
        <f t="shared" si="35"/>
        <v>0</v>
      </c>
      <c r="E71" s="31">
        <f t="shared" si="36"/>
        <v>0</v>
      </c>
      <c r="F71" s="31">
        <f t="shared" si="37"/>
        <v>0</v>
      </c>
      <c r="G71" s="31">
        <f t="shared" si="38"/>
        <v>0</v>
      </c>
      <c r="H71" s="32">
        <f t="shared" si="39"/>
        <v>0</v>
      </c>
      <c r="I71" s="32">
        <f t="shared" si="40"/>
        <v>0</v>
      </c>
      <c r="J71" s="32">
        <f t="shared" si="41"/>
        <v>0</v>
      </c>
      <c r="K71" s="32">
        <f t="shared" si="42"/>
        <v>0</v>
      </c>
      <c r="L71" s="32">
        <f t="shared" si="43"/>
        <v>0</v>
      </c>
      <c r="M71" s="32">
        <f t="shared" si="44"/>
        <v>0</v>
      </c>
      <c r="N71" s="32">
        <f t="shared" si="45"/>
        <v>0</v>
      </c>
      <c r="O71" s="32">
        <f t="shared" si="46"/>
        <v>0</v>
      </c>
      <c r="P71" s="32">
        <f t="shared" si="47"/>
        <v>0</v>
      </c>
      <c r="Q71" s="32">
        <f t="shared" si="48"/>
        <v>0</v>
      </c>
      <c r="R71" s="32">
        <f t="shared" si="49"/>
        <v>0</v>
      </c>
      <c r="S71" s="32">
        <f t="shared" si="50"/>
        <v>0</v>
      </c>
      <c r="T71" s="32">
        <f t="shared" si="51"/>
        <v>0</v>
      </c>
      <c r="U71" s="32">
        <f t="shared" si="52"/>
        <v>0</v>
      </c>
      <c r="V71" s="32">
        <f t="shared" si="53"/>
        <v>0</v>
      </c>
      <c r="W71" s="32">
        <f t="shared" si="54"/>
        <v>0</v>
      </c>
      <c r="X71" s="32">
        <f t="shared" si="55"/>
        <v>0</v>
      </c>
      <c r="Y71" s="32">
        <f t="shared" si="56"/>
        <v>0</v>
      </c>
      <c r="Z71" s="32">
        <f t="shared" si="57"/>
        <v>0</v>
      </c>
      <c r="AA71" s="32">
        <f t="shared" si="58"/>
        <v>0</v>
      </c>
      <c r="AB71" s="31">
        <f t="shared" si="59"/>
        <v>0</v>
      </c>
      <c r="AC71" s="31">
        <f t="shared" si="60"/>
        <v>0</v>
      </c>
      <c r="AD71" s="32">
        <f t="shared" si="61"/>
        <v>0</v>
      </c>
      <c r="AE71" s="34">
        <f t="shared" si="62"/>
        <v>0</v>
      </c>
    </row>
    <row r="72" spans="1:31" ht="20.100000000000001" hidden="1" customHeight="1" x14ac:dyDescent="0.2">
      <c r="A72" s="39">
        <f t="shared" si="63"/>
        <v>18</v>
      </c>
      <c r="B72" s="31">
        <f t="shared" si="33"/>
        <v>0</v>
      </c>
      <c r="C72" s="31">
        <f t="shared" si="34"/>
        <v>0</v>
      </c>
      <c r="D72" s="31">
        <f t="shared" si="35"/>
        <v>0</v>
      </c>
      <c r="E72" s="31">
        <f t="shared" si="36"/>
        <v>0</v>
      </c>
      <c r="F72" s="31">
        <f t="shared" si="37"/>
        <v>0</v>
      </c>
      <c r="G72" s="31">
        <f t="shared" si="38"/>
        <v>0</v>
      </c>
      <c r="H72" s="32">
        <f t="shared" si="39"/>
        <v>0</v>
      </c>
      <c r="I72" s="32">
        <f t="shared" si="40"/>
        <v>0</v>
      </c>
      <c r="J72" s="32">
        <f t="shared" si="41"/>
        <v>0</v>
      </c>
      <c r="K72" s="32">
        <f t="shared" si="42"/>
        <v>0</v>
      </c>
      <c r="L72" s="32">
        <f t="shared" si="43"/>
        <v>0</v>
      </c>
      <c r="M72" s="32">
        <f t="shared" si="44"/>
        <v>0</v>
      </c>
      <c r="N72" s="32">
        <f t="shared" si="45"/>
        <v>0</v>
      </c>
      <c r="O72" s="32">
        <f t="shared" si="46"/>
        <v>0</v>
      </c>
      <c r="P72" s="32">
        <f t="shared" si="47"/>
        <v>0</v>
      </c>
      <c r="Q72" s="32">
        <f t="shared" si="48"/>
        <v>0</v>
      </c>
      <c r="R72" s="32">
        <f t="shared" si="49"/>
        <v>0</v>
      </c>
      <c r="S72" s="32">
        <f t="shared" si="50"/>
        <v>0</v>
      </c>
      <c r="T72" s="32">
        <f t="shared" si="51"/>
        <v>0</v>
      </c>
      <c r="U72" s="32">
        <f t="shared" si="52"/>
        <v>0</v>
      </c>
      <c r="V72" s="32">
        <f t="shared" si="53"/>
        <v>0</v>
      </c>
      <c r="W72" s="32">
        <f t="shared" si="54"/>
        <v>0</v>
      </c>
      <c r="X72" s="32">
        <f t="shared" si="55"/>
        <v>0</v>
      </c>
      <c r="Y72" s="32">
        <f t="shared" si="56"/>
        <v>0</v>
      </c>
      <c r="Z72" s="32">
        <f t="shared" si="57"/>
        <v>0</v>
      </c>
      <c r="AA72" s="32">
        <f t="shared" si="58"/>
        <v>0</v>
      </c>
      <c r="AB72" s="31">
        <f t="shared" si="59"/>
        <v>0</v>
      </c>
      <c r="AC72" s="31">
        <f t="shared" si="60"/>
        <v>0</v>
      </c>
      <c r="AD72" s="32">
        <f t="shared" si="61"/>
        <v>0</v>
      </c>
      <c r="AE72" s="34">
        <f t="shared" si="62"/>
        <v>0</v>
      </c>
    </row>
    <row r="73" spans="1:31" ht="20.100000000000001" hidden="1" customHeight="1" x14ac:dyDescent="0.2">
      <c r="A73" s="39">
        <f t="shared" si="63"/>
        <v>19</v>
      </c>
      <c r="B73" s="31">
        <f t="shared" si="33"/>
        <v>0</v>
      </c>
      <c r="C73" s="31">
        <f t="shared" si="34"/>
        <v>0</v>
      </c>
      <c r="D73" s="31">
        <f t="shared" si="35"/>
        <v>0</v>
      </c>
      <c r="E73" s="31">
        <f t="shared" si="36"/>
        <v>0</v>
      </c>
      <c r="F73" s="31">
        <f t="shared" si="37"/>
        <v>0</v>
      </c>
      <c r="G73" s="31">
        <f t="shared" si="38"/>
        <v>0</v>
      </c>
      <c r="H73" s="32">
        <f t="shared" si="39"/>
        <v>0</v>
      </c>
      <c r="I73" s="32">
        <f t="shared" si="40"/>
        <v>0</v>
      </c>
      <c r="J73" s="32">
        <f t="shared" si="41"/>
        <v>0</v>
      </c>
      <c r="K73" s="32">
        <f t="shared" si="42"/>
        <v>0</v>
      </c>
      <c r="L73" s="32">
        <f t="shared" si="43"/>
        <v>0</v>
      </c>
      <c r="M73" s="32">
        <f t="shared" si="44"/>
        <v>0</v>
      </c>
      <c r="N73" s="32">
        <f t="shared" si="45"/>
        <v>0</v>
      </c>
      <c r="O73" s="32">
        <f t="shared" si="46"/>
        <v>0</v>
      </c>
      <c r="P73" s="32">
        <f t="shared" si="47"/>
        <v>0</v>
      </c>
      <c r="Q73" s="32">
        <f t="shared" si="48"/>
        <v>0</v>
      </c>
      <c r="R73" s="32">
        <f t="shared" si="49"/>
        <v>0</v>
      </c>
      <c r="S73" s="32">
        <f t="shared" si="50"/>
        <v>0</v>
      </c>
      <c r="T73" s="32">
        <f t="shared" si="51"/>
        <v>0</v>
      </c>
      <c r="U73" s="32">
        <f t="shared" si="52"/>
        <v>0</v>
      </c>
      <c r="V73" s="32">
        <f t="shared" si="53"/>
        <v>0</v>
      </c>
      <c r="W73" s="32">
        <f t="shared" si="54"/>
        <v>0</v>
      </c>
      <c r="X73" s="32">
        <f t="shared" si="55"/>
        <v>0</v>
      </c>
      <c r="Y73" s="32">
        <f t="shared" si="56"/>
        <v>0</v>
      </c>
      <c r="Z73" s="32">
        <f t="shared" si="57"/>
        <v>0</v>
      </c>
      <c r="AA73" s="32">
        <f t="shared" si="58"/>
        <v>0</v>
      </c>
      <c r="AB73" s="31">
        <f t="shared" si="59"/>
        <v>0</v>
      </c>
      <c r="AC73" s="31">
        <f t="shared" si="60"/>
        <v>0</v>
      </c>
      <c r="AD73" s="32">
        <f t="shared" si="61"/>
        <v>0</v>
      </c>
      <c r="AE73" s="34">
        <f t="shared" si="62"/>
        <v>0</v>
      </c>
    </row>
    <row r="74" spans="1:31" ht="20.100000000000001" hidden="1" customHeight="1" thickBot="1" x14ac:dyDescent="0.25">
      <c r="A74" s="49">
        <f t="shared" si="63"/>
        <v>20</v>
      </c>
      <c r="B74" s="62">
        <f t="shared" si="33"/>
        <v>0</v>
      </c>
      <c r="C74" s="62">
        <f t="shared" si="34"/>
        <v>0</v>
      </c>
      <c r="D74" s="62">
        <f t="shared" si="35"/>
        <v>0</v>
      </c>
      <c r="E74" s="62">
        <f t="shared" si="36"/>
        <v>0</v>
      </c>
      <c r="F74" s="62">
        <f t="shared" si="37"/>
        <v>0</v>
      </c>
      <c r="G74" s="62">
        <f t="shared" si="38"/>
        <v>0</v>
      </c>
      <c r="H74" s="64">
        <f t="shared" si="39"/>
        <v>0</v>
      </c>
      <c r="I74" s="64">
        <f t="shared" si="40"/>
        <v>0</v>
      </c>
      <c r="J74" s="64">
        <f t="shared" si="41"/>
        <v>0</v>
      </c>
      <c r="K74" s="64">
        <f t="shared" si="42"/>
        <v>0</v>
      </c>
      <c r="L74" s="64">
        <f t="shared" si="43"/>
        <v>0</v>
      </c>
      <c r="M74" s="64">
        <f t="shared" si="44"/>
        <v>0</v>
      </c>
      <c r="N74" s="64">
        <f t="shared" si="45"/>
        <v>0</v>
      </c>
      <c r="O74" s="64">
        <f t="shared" si="46"/>
        <v>0</v>
      </c>
      <c r="P74" s="64">
        <f t="shared" si="47"/>
        <v>0</v>
      </c>
      <c r="Q74" s="64">
        <f t="shared" si="48"/>
        <v>0</v>
      </c>
      <c r="R74" s="64">
        <f t="shared" si="49"/>
        <v>0</v>
      </c>
      <c r="S74" s="64">
        <f t="shared" si="50"/>
        <v>0</v>
      </c>
      <c r="T74" s="64">
        <f t="shared" si="51"/>
        <v>0</v>
      </c>
      <c r="U74" s="64">
        <f t="shared" si="52"/>
        <v>0</v>
      </c>
      <c r="V74" s="64">
        <f t="shared" si="53"/>
        <v>0</v>
      </c>
      <c r="W74" s="64">
        <f t="shared" si="54"/>
        <v>0</v>
      </c>
      <c r="X74" s="64">
        <f t="shared" si="55"/>
        <v>0</v>
      </c>
      <c r="Y74" s="64">
        <f t="shared" si="56"/>
        <v>0</v>
      </c>
      <c r="Z74" s="64">
        <f t="shared" si="57"/>
        <v>0</v>
      </c>
      <c r="AA74" s="64">
        <f t="shared" si="58"/>
        <v>0</v>
      </c>
      <c r="AB74" s="62">
        <f t="shared" si="59"/>
        <v>0</v>
      </c>
      <c r="AC74" s="62">
        <f t="shared" si="60"/>
        <v>0</v>
      </c>
      <c r="AD74" s="64">
        <f t="shared" si="61"/>
        <v>0</v>
      </c>
      <c r="AE74" s="75">
        <f t="shared" si="62"/>
        <v>0</v>
      </c>
    </row>
    <row r="75" spans="1:31" ht="20.100000000000001" hidden="1" customHeight="1" thickTop="1" thickBot="1" x14ac:dyDescent="0.25">
      <c r="A75" s="51" t="s">
        <v>0</v>
      </c>
      <c r="B75" s="63">
        <f>SUM(B55:B74)</f>
        <v>0</v>
      </c>
      <c r="C75" s="63">
        <f>SUM(C55:C74)</f>
        <v>0</v>
      </c>
      <c r="D75" s="63">
        <f>SUM(D55:D74)</f>
        <v>0</v>
      </c>
      <c r="E75" s="63">
        <f t="shared" ref="E75" si="64">SUM(E55:E74)</f>
        <v>188.01652892561987</v>
      </c>
      <c r="F75" s="63">
        <f t="shared" ref="F75" si="65">SUM(F55:F74)</f>
        <v>0</v>
      </c>
      <c r="G75" s="63">
        <f t="shared" ref="G75" si="66">SUM(G55:G74)</f>
        <v>0</v>
      </c>
      <c r="H75" s="63">
        <f t="shared" ref="H75" si="67">SUM(H55:H74)</f>
        <v>0</v>
      </c>
      <c r="I75" s="63">
        <f t="shared" ref="I75" si="68">SUM(I55:I74)</f>
        <v>0</v>
      </c>
      <c r="J75" s="63">
        <f t="shared" ref="J75" si="69">SUM(J55:J74)</f>
        <v>0</v>
      </c>
      <c r="K75" s="63">
        <f t="shared" ref="K75" si="70">SUM(K55:K74)</f>
        <v>0</v>
      </c>
      <c r="L75" s="63">
        <f t="shared" ref="L75" si="71">SUM(L55:L74)</f>
        <v>0</v>
      </c>
      <c r="M75" s="63">
        <f t="shared" ref="M75" si="72">SUM(M55:M74)</f>
        <v>0</v>
      </c>
      <c r="N75" s="63">
        <f t="shared" ref="N75" si="73">SUM(N55:N74)</f>
        <v>84.710743801652896</v>
      </c>
      <c r="O75" s="63">
        <f t="shared" ref="O75" si="74">SUM(O55:O74)</f>
        <v>0</v>
      </c>
      <c r="P75" s="63">
        <f t="shared" ref="P75" si="75">SUM(P55:P74)</f>
        <v>0</v>
      </c>
      <c r="Q75" s="63">
        <f t="shared" ref="Q75" si="76">SUM(Q55:Q74)</f>
        <v>0</v>
      </c>
      <c r="R75" s="63">
        <f t="shared" ref="R75" si="77">SUM(R55:R74)</f>
        <v>0</v>
      </c>
      <c r="S75" s="63">
        <f t="shared" ref="S75" si="78">SUM(S55:S74)</f>
        <v>0</v>
      </c>
      <c r="T75" s="63">
        <f t="shared" ref="T75" si="79">SUM(T55:T74)</f>
        <v>61.983471074380169</v>
      </c>
      <c r="U75" s="63">
        <f t="shared" ref="U75" si="80">SUM(U55:U74)</f>
        <v>0</v>
      </c>
      <c r="V75" s="63">
        <f t="shared" ref="V75" si="81">SUM(V55:V74)</f>
        <v>0</v>
      </c>
      <c r="W75" s="63">
        <f t="shared" ref="W75" si="82">SUM(W55:W74)</f>
        <v>0</v>
      </c>
      <c r="X75" s="63">
        <f t="shared" ref="X75" si="83">SUM(X55:X74)</f>
        <v>0</v>
      </c>
      <c r="Y75" s="63">
        <f t="shared" ref="Y75" si="84">SUM(Y55:Y74)</f>
        <v>0</v>
      </c>
      <c r="Z75" s="63">
        <f t="shared" ref="Z75" si="85">SUM(Z55:Z74)</f>
        <v>61.983471074380169</v>
      </c>
      <c r="AA75" s="63">
        <f t="shared" ref="AA75" si="86">SUM(AA55:AA74)</f>
        <v>0</v>
      </c>
      <c r="AB75" s="63">
        <f t="shared" ref="AB75" si="87">SUM(AB55:AB74)</f>
        <v>0</v>
      </c>
      <c r="AC75" s="63">
        <f t="shared" ref="AC75" si="88">SUM(AC55:AC74)</f>
        <v>7.5</v>
      </c>
      <c r="AD75" s="63">
        <f t="shared" ref="AD75:AE75" si="89">SUM(AD55:AD74)</f>
        <v>2.8000000000000003</v>
      </c>
      <c r="AE75" s="71">
        <f t="shared" si="89"/>
        <v>0.5</v>
      </c>
    </row>
    <row r="76" spans="1:31" ht="20.100000000000001" customHeight="1" thickBot="1" x14ac:dyDescent="0.25"/>
    <row r="77" spans="1:31" ht="20.100000000000001" customHeight="1" thickTop="1" thickBot="1" x14ac:dyDescent="0.35">
      <c r="A77" s="12" t="s">
        <v>142</v>
      </c>
      <c r="B77" s="20"/>
      <c r="C77" s="20"/>
      <c r="D77" s="129" t="s">
        <v>152</v>
      </c>
      <c r="E77" s="133">
        <v>847</v>
      </c>
      <c r="F77" s="133">
        <v>1800</v>
      </c>
      <c r="G77" s="134">
        <v>300</v>
      </c>
    </row>
    <row r="78" spans="1:31" ht="20.100000000000001" customHeight="1" thickTop="1" thickBot="1" x14ac:dyDescent="0.25">
      <c r="A78" s="51" t="s">
        <v>44</v>
      </c>
      <c r="B78" s="100" t="s">
        <v>48</v>
      </c>
      <c r="C78" s="100" t="s">
        <v>50</v>
      </c>
      <c r="D78" s="132" t="s">
        <v>49</v>
      </c>
      <c r="E78" s="132" t="s">
        <v>139</v>
      </c>
      <c r="F78" s="128" t="s">
        <v>140</v>
      </c>
      <c r="G78" s="128" t="s">
        <v>141</v>
      </c>
      <c r="H78" s="99" t="s">
        <v>131</v>
      </c>
      <c r="I78" s="99" t="s">
        <v>53</v>
      </c>
      <c r="J78" s="99" t="s">
        <v>132</v>
      </c>
      <c r="K78" s="101" t="s">
        <v>138</v>
      </c>
      <c r="L78" s="65"/>
      <c r="M78" s="65"/>
    </row>
    <row r="79" spans="1:31" ht="20.100000000000001" customHeight="1" thickTop="1" x14ac:dyDescent="0.2">
      <c r="A79" s="102">
        <f>A5</f>
        <v>1</v>
      </c>
      <c r="B79" s="105">
        <f>IF($D5="","",L5)</f>
        <v>1.9166666666642413</v>
      </c>
      <c r="C79" s="105">
        <f>IF($D5="","",M5)</f>
        <v>45.999999999941792</v>
      </c>
      <c r="D79" s="105">
        <f>IF($D5="","",N5)</f>
        <v>13.521739130451893</v>
      </c>
      <c r="E79" s="106">
        <f>IF($D5="","",(B55+E55+H55+K55+N55+Q55+T55+W55+Z55)*B79)</f>
        <v>217.80303030275473</v>
      </c>
      <c r="F79" s="106">
        <f>IF($D5="","",(C55+F55+I55+L55+O55+R55+U55+X55+AA55+AC55+AD55+AE55)*B79)</f>
        <v>1.3416666666649688</v>
      </c>
      <c r="G79" s="106">
        <f>IF($D5="","",(D55+G55+J55+M55+P55+S55+V55+Y55+AB55)*B79)</f>
        <v>0</v>
      </c>
      <c r="H79" s="106">
        <f>IF($D5="","",IF(Q5=1,'Consumption Inputs'!$D$6*B79,IF(Q5=2,'Consumption Inputs'!$E$6*B79,0)))</f>
        <v>133.63815656649754</v>
      </c>
      <c r="I79" s="106">
        <f>IF($D5="","",IF(AND(BA5=1,Q5=1),'Consumption Inputs'!$D$7*B79,IF(AND(BA5=1,Q5=2),'Consumption Inputs'!$E$7*B79,0)))</f>
        <v>0</v>
      </c>
      <c r="J79" s="106">
        <f>IF($D5="","",H79+I79)</f>
        <v>133.63815656649754</v>
      </c>
      <c r="K79" s="107">
        <f>IF($D5="","",IF(J79-E79&lt;0,0,J79-E79))</f>
        <v>0</v>
      </c>
      <c r="L79" s="67"/>
      <c r="M79" s="67"/>
    </row>
    <row r="80" spans="1:31" ht="20.100000000000001" customHeight="1" x14ac:dyDescent="0.2">
      <c r="A80" s="102">
        <f t="shared" ref="A80:A98" si="90">A6</f>
        <v>2</v>
      </c>
      <c r="B80" s="108">
        <f t="shared" ref="B80:D80" si="91">IF($D6="","",L6)</f>
        <v>0.33333333333575865</v>
      </c>
      <c r="C80" s="108">
        <f t="shared" si="91"/>
        <v>8.0000000000582077</v>
      </c>
      <c r="D80" s="108">
        <f t="shared" si="91"/>
        <v>0</v>
      </c>
      <c r="E80" s="109">
        <f t="shared" ref="E80:E98" si="92">IF($D6="","",(B56+E56+H56+K56+N56+Q56+T56+W56+Z56)*B80)</f>
        <v>14.462809917460604</v>
      </c>
      <c r="F80" s="109">
        <f t="shared" ref="F80:F98" si="93">IF($D6="","",(C56+F56+I56+L56+O56+R56+U56+X56+AA56+AC56+AD56+AE56)*B80)</f>
        <v>1.0333333333408519</v>
      </c>
      <c r="G80" s="109">
        <f t="shared" ref="G80:G98" si="94">IF($D6="","",(D56+G56+J56+M56+P56+S56+V56+Y56+AB56)*B80)</f>
        <v>0</v>
      </c>
      <c r="H80" s="109">
        <f>IF($D6="","",IF(Q6=1,'Consumption Inputs'!$D$6*B80,IF(Q6=2,'Consumption Inputs'!$E$6*B80,0)))</f>
        <v>23.241418533502433</v>
      </c>
      <c r="I80" s="109">
        <f>IF($D6="","",IF(AND(BA6=1,Q6=1),'Consumption Inputs'!$D$7*B80,IF(AND(BA6=1,Q6=2),'Consumption Inputs'!$E$7*B80,0)))</f>
        <v>0</v>
      </c>
      <c r="J80" s="109">
        <f t="shared" ref="J80:J98" si="95">IF($D6="","",H80+I80)</f>
        <v>23.241418533502433</v>
      </c>
      <c r="K80" s="110">
        <f t="shared" ref="K80:K98" si="96">IF($D6="","",IF(J80-E80&lt;0,0,J80-E80))</f>
        <v>8.7786086160418293</v>
      </c>
      <c r="L80" s="67"/>
      <c r="M80" s="67"/>
    </row>
    <row r="81" spans="1:13" ht="20.100000000000001" customHeight="1" x14ac:dyDescent="0.2">
      <c r="A81" s="102">
        <f t="shared" si="90"/>
        <v>3</v>
      </c>
      <c r="B81" s="108">
        <f t="shared" ref="B81:D81" si="97">IF($D7="","",L7)</f>
        <v>0.83333333333575865</v>
      </c>
      <c r="C81" s="108">
        <f t="shared" si="97"/>
        <v>20.000000000058208</v>
      </c>
      <c r="D81" s="108">
        <f t="shared" si="97"/>
        <v>12.249999999964349</v>
      </c>
      <c r="E81" s="109">
        <f t="shared" si="92"/>
        <v>82.644628099414092</v>
      </c>
      <c r="F81" s="109">
        <f t="shared" si="93"/>
        <v>0.58333333333503101</v>
      </c>
      <c r="G81" s="109">
        <f t="shared" si="94"/>
        <v>0</v>
      </c>
      <c r="H81" s="109">
        <f>IF($D7="","",IF(Q7=1,'Consumption Inputs'!$D$6*B81,IF(Q7=2,'Consumption Inputs'!$E$6*B81,0)))</f>
        <v>58.103546333502429</v>
      </c>
      <c r="I81" s="109">
        <f>IF($D7="","",IF(AND(BA7=1,Q7=1),'Consumption Inputs'!$D$7*B81,IF(AND(BA7=1,Q7=2),'Consumption Inputs'!$E$7*B81,0)))</f>
        <v>0</v>
      </c>
      <c r="J81" s="109">
        <f t="shared" si="95"/>
        <v>58.103546333502429</v>
      </c>
      <c r="K81" s="110">
        <f t="shared" si="96"/>
        <v>0</v>
      </c>
      <c r="L81" s="67"/>
      <c r="M81" s="67"/>
    </row>
    <row r="82" spans="1:13" ht="20.100000000000001" customHeight="1" x14ac:dyDescent="0.2">
      <c r="A82" s="102">
        <f t="shared" si="90"/>
        <v>4</v>
      </c>
      <c r="B82" s="108">
        <f t="shared" ref="B82:D82" si="98">IF($D8="","",L8)</f>
        <v>3.6666666666642413</v>
      </c>
      <c r="C82" s="108">
        <f t="shared" si="98"/>
        <v>87.999999999941792</v>
      </c>
      <c r="D82" s="108">
        <f t="shared" si="98"/>
        <v>0</v>
      </c>
      <c r="E82" s="109">
        <f t="shared" si="92"/>
        <v>159.09090909080388</v>
      </c>
      <c r="F82" s="109">
        <f t="shared" si="93"/>
        <v>11.366666666659148</v>
      </c>
      <c r="G82" s="109">
        <f t="shared" si="94"/>
        <v>0</v>
      </c>
      <c r="H82" s="109">
        <f>IF($D8="","",IF(Q8=1,'Consumption Inputs'!$D$6*B82,IF(Q8=2,'Consumption Inputs'!$E$6*B82,0)))</f>
        <v>255.65560386649753</v>
      </c>
      <c r="I82" s="109">
        <f>IF($D8="","",IF(AND(BA8=1,Q8=1),'Consumption Inputs'!$D$7*B82,IF(AND(BA8=1,Q8=2),'Consumption Inputs'!$E$7*B82,0)))</f>
        <v>0</v>
      </c>
      <c r="J82" s="109">
        <f t="shared" si="95"/>
        <v>255.65560386649753</v>
      </c>
      <c r="K82" s="110">
        <f t="shared" si="96"/>
        <v>96.564694775693653</v>
      </c>
      <c r="L82" s="67"/>
      <c r="M82" s="67"/>
    </row>
    <row r="83" spans="1:13" ht="20.100000000000001" customHeight="1" x14ac:dyDescent="0.2">
      <c r="A83" s="102">
        <f t="shared" si="90"/>
        <v>5</v>
      </c>
      <c r="B83" s="108">
        <f t="shared" ref="B83:D83" si="99">IF($D9="","",L9)</f>
        <v>0.16666666666424135</v>
      </c>
      <c r="C83" s="108">
        <f t="shared" si="99"/>
        <v>3.9999999999417923</v>
      </c>
      <c r="D83" s="108">
        <f t="shared" si="99"/>
        <v>10.000000000145519</v>
      </c>
      <c r="E83" s="109">
        <f t="shared" si="92"/>
        <v>16.184573002519304</v>
      </c>
      <c r="F83" s="109">
        <f t="shared" si="93"/>
        <v>0.53333333332557231</v>
      </c>
      <c r="G83" s="109">
        <f t="shared" si="94"/>
        <v>0</v>
      </c>
      <c r="H83" s="109">
        <f>IF($D9="","",IF(Q9=1,'Consumption Inputs'!$D$6*B83,IF(Q9=2,'Consumption Inputs'!$E$6*B83,0)))</f>
        <v>11.620709266497562</v>
      </c>
      <c r="I83" s="109">
        <f>IF($D9="","",IF(AND(BA9=1,Q9=1),'Consumption Inputs'!$D$7*B83,IF(AND(BA9=1,Q9=2),'Consumption Inputs'!$E$7*B83,0)))</f>
        <v>1.6666666666424135</v>
      </c>
      <c r="J83" s="109">
        <f t="shared" si="95"/>
        <v>13.287375933139975</v>
      </c>
      <c r="K83" s="110">
        <f t="shared" si="96"/>
        <v>0</v>
      </c>
      <c r="L83" s="67"/>
      <c r="M83" s="67"/>
    </row>
    <row r="84" spans="1:13" ht="20.100000000000001" customHeight="1" x14ac:dyDescent="0.2">
      <c r="A84" s="102">
        <f t="shared" si="90"/>
        <v>6</v>
      </c>
      <c r="B84" s="108" t="str">
        <f t="shared" ref="B84:D84" si="100">IF($D10="","",L10)</f>
        <v/>
      </c>
      <c r="C84" s="108" t="str">
        <f t="shared" si="100"/>
        <v/>
      </c>
      <c r="D84" s="108" t="str">
        <f t="shared" si="100"/>
        <v/>
      </c>
      <c r="E84" s="109" t="str">
        <f t="shared" si="92"/>
        <v/>
      </c>
      <c r="F84" s="109" t="str">
        <f t="shared" si="93"/>
        <v/>
      </c>
      <c r="G84" s="109" t="str">
        <f t="shared" si="94"/>
        <v/>
      </c>
      <c r="H84" s="109" t="str">
        <f>IF($D10="","",IF(Q10=1,'Consumption Inputs'!$D$6*B84,IF(Q10=2,'Consumption Inputs'!$E$6*B84,0)))</f>
        <v/>
      </c>
      <c r="I84" s="109" t="str">
        <f>IF($D10="","",IF(AND(BA10=1,Q10=1),'Consumption Inputs'!$D$7*B84,IF(AND(BA10=1,Q10=2),'Consumption Inputs'!$E$7*B84,0)))</f>
        <v/>
      </c>
      <c r="J84" s="109" t="str">
        <f t="shared" si="95"/>
        <v/>
      </c>
      <c r="K84" s="110" t="str">
        <f t="shared" si="96"/>
        <v/>
      </c>
      <c r="L84" s="67"/>
      <c r="M84" s="67"/>
    </row>
    <row r="85" spans="1:13" ht="20.100000000000001" customHeight="1" x14ac:dyDescent="0.2">
      <c r="A85" s="102">
        <f t="shared" si="90"/>
        <v>7</v>
      </c>
      <c r="B85" s="108" t="str">
        <f t="shared" ref="B85:D85" si="101">IF($D11="","",L11)</f>
        <v/>
      </c>
      <c r="C85" s="108" t="str">
        <f t="shared" si="101"/>
        <v/>
      </c>
      <c r="D85" s="108" t="str">
        <f t="shared" si="101"/>
        <v/>
      </c>
      <c r="E85" s="109" t="str">
        <f t="shared" si="92"/>
        <v/>
      </c>
      <c r="F85" s="109" t="str">
        <f t="shared" si="93"/>
        <v/>
      </c>
      <c r="G85" s="109" t="str">
        <f t="shared" si="94"/>
        <v/>
      </c>
      <c r="H85" s="109" t="str">
        <f>IF($D11="","",IF(Q11=1,'Consumption Inputs'!$D$6*B85,IF(Q11=2,'Consumption Inputs'!$E$6*B85,0)))</f>
        <v/>
      </c>
      <c r="I85" s="109" t="str">
        <f>IF($D11="","",IF(AND(BA11=1,Q11=1),'Consumption Inputs'!$D$7*B85,IF(AND(BA11=1,Q11=2),'Consumption Inputs'!$E$7*B85,0)))</f>
        <v/>
      </c>
      <c r="J85" s="109" t="str">
        <f t="shared" si="95"/>
        <v/>
      </c>
      <c r="K85" s="110" t="str">
        <f t="shared" si="96"/>
        <v/>
      </c>
      <c r="L85" s="67"/>
      <c r="M85" s="67"/>
    </row>
    <row r="86" spans="1:13" ht="20.100000000000001" customHeight="1" x14ac:dyDescent="0.2">
      <c r="A86" s="102">
        <f t="shared" si="90"/>
        <v>8</v>
      </c>
      <c r="B86" s="108" t="str">
        <f t="shared" ref="B86:D86" si="102">IF($D12="","",L12)</f>
        <v/>
      </c>
      <c r="C86" s="108" t="str">
        <f t="shared" si="102"/>
        <v/>
      </c>
      <c r="D86" s="108" t="str">
        <f t="shared" si="102"/>
        <v/>
      </c>
      <c r="E86" s="109" t="str">
        <f t="shared" si="92"/>
        <v/>
      </c>
      <c r="F86" s="109" t="str">
        <f t="shared" si="93"/>
        <v/>
      </c>
      <c r="G86" s="109" t="str">
        <f t="shared" si="94"/>
        <v/>
      </c>
      <c r="H86" s="109" t="str">
        <f>IF($D12="","",IF(Q12=1,'Consumption Inputs'!$D$6*B86,IF(Q12=2,'Consumption Inputs'!$E$6*B86,0)))</f>
        <v/>
      </c>
      <c r="I86" s="109" t="str">
        <f>IF($D12="","",IF(AND(BA12=1,Q12=1),'Consumption Inputs'!$D$7*B86,IF(AND(BA12=1,Q12=2),'Consumption Inputs'!$E$7*B86,0)))</f>
        <v/>
      </c>
      <c r="J86" s="109" t="str">
        <f t="shared" si="95"/>
        <v/>
      </c>
      <c r="K86" s="110" t="str">
        <f t="shared" si="96"/>
        <v/>
      </c>
      <c r="L86" s="67"/>
      <c r="M86" s="67"/>
    </row>
    <row r="87" spans="1:13" ht="20.100000000000001" customHeight="1" x14ac:dyDescent="0.2">
      <c r="A87" s="102">
        <f t="shared" si="90"/>
        <v>9</v>
      </c>
      <c r="B87" s="108" t="str">
        <f t="shared" ref="B87:D87" si="103">IF($D13="","",L13)</f>
        <v/>
      </c>
      <c r="C87" s="108" t="str">
        <f t="shared" si="103"/>
        <v/>
      </c>
      <c r="D87" s="108" t="str">
        <f t="shared" si="103"/>
        <v/>
      </c>
      <c r="E87" s="109" t="str">
        <f t="shared" si="92"/>
        <v/>
      </c>
      <c r="F87" s="109" t="str">
        <f t="shared" si="93"/>
        <v/>
      </c>
      <c r="G87" s="109" t="str">
        <f t="shared" si="94"/>
        <v/>
      </c>
      <c r="H87" s="109" t="str">
        <f>IF($D13="","",IF(Q13=1,'Consumption Inputs'!$D$6*B87,IF(Q13=2,'Consumption Inputs'!$E$6*B87,0)))</f>
        <v/>
      </c>
      <c r="I87" s="109" t="str">
        <f>IF($D13="","",IF(AND(BA13=1,Q13=1),'Consumption Inputs'!$D$7*B87,IF(AND(BA13=1,Q13=2),'Consumption Inputs'!$E$7*B87,0)))</f>
        <v/>
      </c>
      <c r="J87" s="109" t="str">
        <f t="shared" si="95"/>
        <v/>
      </c>
      <c r="K87" s="110" t="str">
        <f t="shared" si="96"/>
        <v/>
      </c>
      <c r="L87" s="67"/>
      <c r="M87" s="67"/>
    </row>
    <row r="88" spans="1:13" ht="20.100000000000001" customHeight="1" x14ac:dyDescent="0.2">
      <c r="A88" s="102">
        <f t="shared" si="90"/>
        <v>10</v>
      </c>
      <c r="B88" s="108" t="str">
        <f t="shared" ref="B88:D88" si="104">IF($D14="","",L14)</f>
        <v/>
      </c>
      <c r="C88" s="108" t="str">
        <f t="shared" si="104"/>
        <v/>
      </c>
      <c r="D88" s="108" t="str">
        <f t="shared" si="104"/>
        <v/>
      </c>
      <c r="E88" s="109" t="str">
        <f t="shared" si="92"/>
        <v/>
      </c>
      <c r="F88" s="109" t="str">
        <f t="shared" si="93"/>
        <v/>
      </c>
      <c r="G88" s="109" t="str">
        <f t="shared" si="94"/>
        <v/>
      </c>
      <c r="H88" s="109" t="str">
        <f>IF($D14="","",IF(Q14=1,'Consumption Inputs'!$D$6*B88,IF(Q14=2,'Consumption Inputs'!$E$6*B88,0)))</f>
        <v/>
      </c>
      <c r="I88" s="109" t="str">
        <f>IF($D14="","",IF(AND(BA14=1,Q14=1),'Consumption Inputs'!$D$7*B88,IF(AND(BA14=1,Q14=2),'Consumption Inputs'!$E$7*B88,0)))</f>
        <v/>
      </c>
      <c r="J88" s="109" t="str">
        <f t="shared" si="95"/>
        <v/>
      </c>
      <c r="K88" s="110" t="str">
        <f t="shared" si="96"/>
        <v/>
      </c>
      <c r="L88" s="67"/>
      <c r="M88" s="67"/>
    </row>
    <row r="89" spans="1:13" ht="20.100000000000001" customHeight="1" x14ac:dyDescent="0.2">
      <c r="A89" s="102">
        <f t="shared" si="90"/>
        <v>11</v>
      </c>
      <c r="B89" s="108" t="str">
        <f t="shared" ref="B89:D89" si="105">IF($D15="","",L15)</f>
        <v/>
      </c>
      <c r="C89" s="108" t="str">
        <f t="shared" si="105"/>
        <v/>
      </c>
      <c r="D89" s="108" t="str">
        <f t="shared" si="105"/>
        <v/>
      </c>
      <c r="E89" s="109" t="str">
        <f t="shared" si="92"/>
        <v/>
      </c>
      <c r="F89" s="109" t="str">
        <f t="shared" si="93"/>
        <v/>
      </c>
      <c r="G89" s="109" t="str">
        <f t="shared" si="94"/>
        <v/>
      </c>
      <c r="H89" s="109" t="str">
        <f>IF($D15="","",IF(Q15=1,'Consumption Inputs'!$D$6*B89,IF(Q15=2,'Consumption Inputs'!$E$6*B89,0)))</f>
        <v/>
      </c>
      <c r="I89" s="109" t="str">
        <f>IF($D15="","",IF(AND(BA15=1,Q15=1),'Consumption Inputs'!$D$7*B89,IF(AND(BA15=1,Q15=2),'Consumption Inputs'!$E$7*B89,0)))</f>
        <v/>
      </c>
      <c r="J89" s="109" t="str">
        <f t="shared" si="95"/>
        <v/>
      </c>
      <c r="K89" s="110" t="str">
        <f t="shared" si="96"/>
        <v/>
      </c>
      <c r="L89" s="67"/>
      <c r="M89" s="67"/>
    </row>
    <row r="90" spans="1:13" ht="20.100000000000001" customHeight="1" x14ac:dyDescent="0.2">
      <c r="A90" s="102">
        <f t="shared" si="90"/>
        <v>12</v>
      </c>
      <c r="B90" s="108" t="str">
        <f t="shared" ref="B90:D90" si="106">IF($D16="","",L16)</f>
        <v/>
      </c>
      <c r="C90" s="108" t="str">
        <f t="shared" si="106"/>
        <v/>
      </c>
      <c r="D90" s="108" t="str">
        <f t="shared" si="106"/>
        <v/>
      </c>
      <c r="E90" s="109" t="str">
        <f t="shared" si="92"/>
        <v/>
      </c>
      <c r="F90" s="109" t="str">
        <f t="shared" si="93"/>
        <v/>
      </c>
      <c r="G90" s="109" t="str">
        <f t="shared" si="94"/>
        <v/>
      </c>
      <c r="H90" s="109" t="str">
        <f>IF($D16="","",IF(Q16=1,'Consumption Inputs'!$D$6*B90,IF(Q16=2,'Consumption Inputs'!$E$6*B90,0)))</f>
        <v/>
      </c>
      <c r="I90" s="109" t="str">
        <f>IF($D16="","",IF(AND(BA16=1,Q16=1),'Consumption Inputs'!$D$7*B90,IF(AND(BA16=1,Q16=2),'Consumption Inputs'!$E$7*B90,0)))</f>
        <v/>
      </c>
      <c r="J90" s="109" t="str">
        <f t="shared" si="95"/>
        <v/>
      </c>
      <c r="K90" s="110" t="str">
        <f t="shared" si="96"/>
        <v/>
      </c>
      <c r="L90" s="67"/>
      <c r="M90" s="67"/>
    </row>
    <row r="91" spans="1:13" ht="20.100000000000001" customHeight="1" x14ac:dyDescent="0.2">
      <c r="A91" s="102">
        <f t="shared" si="90"/>
        <v>13</v>
      </c>
      <c r="B91" s="108" t="str">
        <f t="shared" ref="B91:D91" si="107">IF($D17="","",L17)</f>
        <v/>
      </c>
      <c r="C91" s="108" t="str">
        <f t="shared" si="107"/>
        <v/>
      </c>
      <c r="D91" s="108" t="str">
        <f t="shared" si="107"/>
        <v/>
      </c>
      <c r="E91" s="109" t="str">
        <f t="shared" si="92"/>
        <v/>
      </c>
      <c r="F91" s="109" t="str">
        <f t="shared" si="93"/>
        <v/>
      </c>
      <c r="G91" s="109" t="str">
        <f t="shared" si="94"/>
        <v/>
      </c>
      <c r="H91" s="109" t="str">
        <f>IF($D17="","",IF(Q17=1,'Consumption Inputs'!$D$6*B91,IF(Q17=2,'Consumption Inputs'!$E$6*B91,0)))</f>
        <v/>
      </c>
      <c r="I91" s="109" t="str">
        <f>IF($D17="","",IF(AND(BA17=1,Q17=1),'Consumption Inputs'!$D$7*B91,IF(AND(BA17=1,Q17=2),'Consumption Inputs'!$E$7*B91,0)))</f>
        <v/>
      </c>
      <c r="J91" s="109" t="str">
        <f t="shared" si="95"/>
        <v/>
      </c>
      <c r="K91" s="110" t="str">
        <f t="shared" si="96"/>
        <v/>
      </c>
      <c r="L91" s="67"/>
      <c r="M91" s="67"/>
    </row>
    <row r="92" spans="1:13" ht="20.100000000000001" customHeight="1" x14ac:dyDescent="0.2">
      <c r="A92" s="102">
        <f t="shared" si="90"/>
        <v>14</v>
      </c>
      <c r="B92" s="108" t="str">
        <f t="shared" ref="B92:D92" si="108">IF($D18="","",L18)</f>
        <v/>
      </c>
      <c r="C92" s="108" t="str">
        <f t="shared" si="108"/>
        <v/>
      </c>
      <c r="D92" s="108" t="str">
        <f t="shared" si="108"/>
        <v/>
      </c>
      <c r="E92" s="109" t="str">
        <f t="shared" si="92"/>
        <v/>
      </c>
      <c r="F92" s="109" t="str">
        <f t="shared" si="93"/>
        <v/>
      </c>
      <c r="G92" s="109" t="str">
        <f t="shared" si="94"/>
        <v/>
      </c>
      <c r="H92" s="109" t="str">
        <f>IF($D18="","",IF(Q18=1,'Consumption Inputs'!$D$6*B92,IF(Q18=2,'Consumption Inputs'!$E$6*B92,0)))</f>
        <v/>
      </c>
      <c r="I92" s="109" t="str">
        <f>IF($D18="","",IF(AND(BA18=1,Q18=1),'Consumption Inputs'!$D$7*B92,IF(AND(BA18=1,Q18=2),'Consumption Inputs'!$E$7*B92,0)))</f>
        <v/>
      </c>
      <c r="J92" s="109" t="str">
        <f t="shared" si="95"/>
        <v/>
      </c>
      <c r="K92" s="110" t="str">
        <f t="shared" si="96"/>
        <v/>
      </c>
      <c r="L92" s="67"/>
      <c r="M92" s="67"/>
    </row>
    <row r="93" spans="1:13" ht="20.100000000000001" customHeight="1" x14ac:dyDescent="0.2">
      <c r="A93" s="102">
        <f t="shared" si="90"/>
        <v>15</v>
      </c>
      <c r="B93" s="108" t="str">
        <f t="shared" ref="B93:D93" si="109">IF($D19="","",L19)</f>
        <v/>
      </c>
      <c r="C93" s="108" t="str">
        <f t="shared" si="109"/>
        <v/>
      </c>
      <c r="D93" s="108" t="str">
        <f t="shared" si="109"/>
        <v/>
      </c>
      <c r="E93" s="109" t="str">
        <f t="shared" si="92"/>
        <v/>
      </c>
      <c r="F93" s="109" t="str">
        <f t="shared" si="93"/>
        <v/>
      </c>
      <c r="G93" s="109" t="str">
        <f t="shared" si="94"/>
        <v/>
      </c>
      <c r="H93" s="109" t="str">
        <f>IF($D19="","",IF(Q19=1,'Consumption Inputs'!$D$6*B93,IF(Q19=2,'Consumption Inputs'!$E$6*B93,0)))</f>
        <v/>
      </c>
      <c r="I93" s="109" t="str">
        <f>IF($D19="","",IF(AND(BA19=1,Q19=1),'Consumption Inputs'!$D$7*B93,IF(AND(BA19=1,Q19=2),'Consumption Inputs'!$E$7*B93,0)))</f>
        <v/>
      </c>
      <c r="J93" s="109" t="str">
        <f t="shared" si="95"/>
        <v/>
      </c>
      <c r="K93" s="110" t="str">
        <f t="shared" si="96"/>
        <v/>
      </c>
      <c r="L93" s="67"/>
      <c r="M93" s="67"/>
    </row>
    <row r="94" spans="1:13" ht="20.100000000000001" customHeight="1" x14ac:dyDescent="0.2">
      <c r="A94" s="102">
        <f t="shared" si="90"/>
        <v>16</v>
      </c>
      <c r="B94" s="108" t="str">
        <f t="shared" ref="B94:D94" si="110">IF($D20="","",L20)</f>
        <v/>
      </c>
      <c r="C94" s="108" t="str">
        <f t="shared" si="110"/>
        <v/>
      </c>
      <c r="D94" s="108" t="str">
        <f t="shared" si="110"/>
        <v/>
      </c>
      <c r="E94" s="109" t="str">
        <f t="shared" si="92"/>
        <v/>
      </c>
      <c r="F94" s="109" t="str">
        <f t="shared" si="93"/>
        <v/>
      </c>
      <c r="G94" s="109" t="str">
        <f t="shared" si="94"/>
        <v/>
      </c>
      <c r="H94" s="109" t="str">
        <f>IF($D20="","",IF(Q20=1,'Consumption Inputs'!$D$6*B94,IF(Q20=2,'Consumption Inputs'!$E$6*B94,0)))</f>
        <v/>
      </c>
      <c r="I94" s="109" t="str">
        <f>IF($D20="","",IF(AND(BA20=1,Q20=1),'Consumption Inputs'!$D$7*B94,IF(AND(BA20=1,Q20=2),'Consumption Inputs'!$E$7*B94,0)))</f>
        <v/>
      </c>
      <c r="J94" s="109" t="str">
        <f t="shared" si="95"/>
        <v/>
      </c>
      <c r="K94" s="110" t="str">
        <f t="shared" si="96"/>
        <v/>
      </c>
      <c r="L94" s="67"/>
      <c r="M94" s="67"/>
    </row>
    <row r="95" spans="1:13" ht="20.100000000000001" customHeight="1" x14ac:dyDescent="0.2">
      <c r="A95" s="102">
        <f t="shared" si="90"/>
        <v>17</v>
      </c>
      <c r="B95" s="108" t="str">
        <f t="shared" ref="B95:D95" si="111">IF($D21="","",L21)</f>
        <v/>
      </c>
      <c r="C95" s="108" t="str">
        <f t="shared" si="111"/>
        <v/>
      </c>
      <c r="D95" s="108" t="str">
        <f t="shared" si="111"/>
        <v/>
      </c>
      <c r="E95" s="109" t="str">
        <f t="shared" si="92"/>
        <v/>
      </c>
      <c r="F95" s="109" t="str">
        <f t="shared" si="93"/>
        <v/>
      </c>
      <c r="G95" s="109" t="str">
        <f t="shared" si="94"/>
        <v/>
      </c>
      <c r="H95" s="109" t="str">
        <f>IF($D21="","",IF(Q21=1,'Consumption Inputs'!$D$6*B95,IF(Q21=2,'Consumption Inputs'!$E$6*B95,0)))</f>
        <v/>
      </c>
      <c r="I95" s="109" t="str">
        <f>IF($D21="","",IF(AND(BA21=1,Q21=1),'Consumption Inputs'!$D$7*B95,IF(AND(BA21=1,Q21=2),'Consumption Inputs'!$E$7*B95,0)))</f>
        <v/>
      </c>
      <c r="J95" s="109" t="str">
        <f t="shared" si="95"/>
        <v/>
      </c>
      <c r="K95" s="110" t="str">
        <f t="shared" si="96"/>
        <v/>
      </c>
      <c r="L95" s="67"/>
      <c r="M95" s="67"/>
    </row>
    <row r="96" spans="1:13" ht="20.100000000000001" customHeight="1" x14ac:dyDescent="0.2">
      <c r="A96" s="102">
        <f t="shared" si="90"/>
        <v>18</v>
      </c>
      <c r="B96" s="108" t="str">
        <f t="shared" ref="B96:D96" si="112">IF($D22="","",L22)</f>
        <v/>
      </c>
      <c r="C96" s="108" t="str">
        <f t="shared" si="112"/>
        <v/>
      </c>
      <c r="D96" s="108" t="str">
        <f t="shared" si="112"/>
        <v/>
      </c>
      <c r="E96" s="109" t="str">
        <f t="shared" si="92"/>
        <v/>
      </c>
      <c r="F96" s="109" t="str">
        <f t="shared" si="93"/>
        <v/>
      </c>
      <c r="G96" s="109" t="str">
        <f t="shared" si="94"/>
        <v/>
      </c>
      <c r="H96" s="109" t="str">
        <f>IF($D22="","",IF(Q22=1,'Consumption Inputs'!$D$6*B96,IF(Q22=2,'Consumption Inputs'!$E$6*B96,0)))</f>
        <v/>
      </c>
      <c r="I96" s="109" t="str">
        <f>IF($D22="","",IF(AND(BA22=1,Q22=1),'Consumption Inputs'!$D$7*B96,IF(AND(BA22=1,Q22=2),'Consumption Inputs'!$E$7*B96,0)))</f>
        <v/>
      </c>
      <c r="J96" s="109" t="str">
        <f t="shared" si="95"/>
        <v/>
      </c>
      <c r="K96" s="110" t="str">
        <f t="shared" si="96"/>
        <v/>
      </c>
      <c r="L96" s="67"/>
      <c r="M96" s="67"/>
    </row>
    <row r="97" spans="1:13" ht="20.100000000000001" customHeight="1" x14ac:dyDescent="0.2">
      <c r="A97" s="102">
        <f t="shared" si="90"/>
        <v>19</v>
      </c>
      <c r="B97" s="108" t="str">
        <f t="shared" ref="B97:D97" si="113">IF($D23="","",L23)</f>
        <v/>
      </c>
      <c r="C97" s="108" t="str">
        <f t="shared" si="113"/>
        <v/>
      </c>
      <c r="D97" s="108" t="str">
        <f t="shared" si="113"/>
        <v/>
      </c>
      <c r="E97" s="109" t="str">
        <f t="shared" si="92"/>
        <v/>
      </c>
      <c r="F97" s="109" t="str">
        <f t="shared" si="93"/>
        <v/>
      </c>
      <c r="G97" s="109" t="str">
        <f t="shared" si="94"/>
        <v/>
      </c>
      <c r="H97" s="109" t="str">
        <f>IF($D23="","",IF(Q23=1,'Consumption Inputs'!$D$6*B97,IF(Q23=2,'Consumption Inputs'!$E$6*B97,0)))</f>
        <v/>
      </c>
      <c r="I97" s="109" t="str">
        <f>IF($D23="","",IF(AND(BA23=1,Q23=1),'Consumption Inputs'!$D$7*B97,IF(AND(BA23=1,Q23=2),'Consumption Inputs'!$E$7*B97,0)))</f>
        <v/>
      </c>
      <c r="J97" s="109" t="str">
        <f t="shared" si="95"/>
        <v/>
      </c>
      <c r="K97" s="110" t="str">
        <f t="shared" si="96"/>
        <v/>
      </c>
      <c r="L97" s="67"/>
      <c r="M97" s="67"/>
    </row>
    <row r="98" spans="1:13" ht="20.100000000000001" customHeight="1" thickBot="1" x14ac:dyDescent="0.25">
      <c r="A98" s="120">
        <f t="shared" si="90"/>
        <v>20</v>
      </c>
      <c r="B98" s="111" t="str">
        <f t="shared" ref="B98:D98" si="114">IF($D24="","",L24)</f>
        <v/>
      </c>
      <c r="C98" s="111" t="str">
        <f t="shared" si="114"/>
        <v/>
      </c>
      <c r="D98" s="111" t="str">
        <f t="shared" si="114"/>
        <v/>
      </c>
      <c r="E98" s="112" t="str">
        <f t="shared" si="92"/>
        <v/>
      </c>
      <c r="F98" s="112" t="str">
        <f t="shared" si="93"/>
        <v/>
      </c>
      <c r="G98" s="112" t="str">
        <f t="shared" si="94"/>
        <v/>
      </c>
      <c r="H98" s="112" t="str">
        <f>IF($D24="","",IF(Q24=1,'Consumption Inputs'!$D$6*B98,IF(Q24=2,'Consumption Inputs'!$E$6*B98,0)))</f>
        <v/>
      </c>
      <c r="I98" s="112" t="str">
        <f>IF($D24="","",IF(AND(BA24=1,Q24=1),'Consumption Inputs'!$D$7*B98,IF(AND(BA24=1,Q24=2),'Consumption Inputs'!$E$7*B98,0)))</f>
        <v/>
      </c>
      <c r="J98" s="112" t="str">
        <f t="shared" si="95"/>
        <v/>
      </c>
      <c r="K98" s="113" t="str">
        <f t="shared" si="96"/>
        <v/>
      </c>
      <c r="L98" s="67"/>
      <c r="M98" s="67"/>
    </row>
    <row r="99" spans="1:13" ht="20.100000000000001" customHeight="1" thickTop="1" thickBot="1" x14ac:dyDescent="0.25">
      <c r="A99" s="51" t="s">
        <v>0</v>
      </c>
      <c r="B99" s="73">
        <f t="shared" ref="B99:C99" si="115">SUM(B79:B98)</f>
        <v>6.9166666666642413</v>
      </c>
      <c r="C99" s="73">
        <f t="shared" si="115"/>
        <v>165.99999999994179</v>
      </c>
      <c r="D99" s="130">
        <f>F25/M25</f>
        <v>5.4638554216886632</v>
      </c>
      <c r="E99" s="130">
        <f>SUM(E79:E98)</f>
        <v>490.18595041295259</v>
      </c>
      <c r="F99" s="130">
        <f t="shared" ref="F99" si="116">SUM(F79:F98)</f>
        <v>14.858333333325572</v>
      </c>
      <c r="G99" s="130">
        <f t="shared" ref="G99" si="117">SUM(G79:G98)</f>
        <v>0</v>
      </c>
      <c r="H99" s="73">
        <f t="shared" ref="H99" si="118">SUM(H79:H98)</f>
        <v>482.25943456649748</v>
      </c>
      <c r="I99" s="73">
        <f t="shared" ref="I99" si="119">SUM(I79:I98)</f>
        <v>1.6666666666424135</v>
      </c>
      <c r="J99" s="73">
        <f t="shared" ref="J99" si="120">SUM(J79:J98)</f>
        <v>483.92610123313989</v>
      </c>
      <c r="K99" s="74">
        <f t="shared" ref="K99" si="121">SUM(K79:K98)</f>
        <v>105.34330339173547</v>
      </c>
      <c r="L99" s="68"/>
      <c r="M99" s="68"/>
    </row>
    <row r="100" spans="1:13" ht="20.100000000000001" customHeight="1" thickTop="1" thickBot="1" x14ac:dyDescent="0.25">
      <c r="D100" s="47" t="s">
        <v>153</v>
      </c>
      <c r="E100" s="131">
        <f>E77-E99</f>
        <v>356.81404958704741</v>
      </c>
      <c r="F100" s="131">
        <f t="shared" ref="F100:G100" si="122">F77-F99</f>
        <v>1785.1416666666744</v>
      </c>
      <c r="G100" s="114">
        <f t="shared" si="122"/>
        <v>300</v>
      </c>
    </row>
    <row r="101" spans="1:13" ht="20.100000000000001" customHeight="1" thickTop="1" x14ac:dyDescent="0.2"/>
    <row r="102" spans="1:13" ht="20.100000000000001" customHeight="1" thickBot="1" x14ac:dyDescent="0.35">
      <c r="A102" s="12" t="s">
        <v>143</v>
      </c>
      <c r="B102" s="20"/>
      <c r="C102" s="20"/>
      <c r="D102" s="21"/>
    </row>
    <row r="103" spans="1:13" ht="20.100000000000001" customHeight="1" thickTop="1" thickBot="1" x14ac:dyDescent="0.25">
      <c r="A103" s="51" t="s">
        <v>44</v>
      </c>
      <c r="B103" s="100" t="s">
        <v>48</v>
      </c>
      <c r="C103" s="100" t="s">
        <v>50</v>
      </c>
      <c r="D103" s="99" t="s">
        <v>49</v>
      </c>
      <c r="E103" s="99" t="s">
        <v>139</v>
      </c>
      <c r="F103" s="99" t="s">
        <v>140</v>
      </c>
      <c r="G103" s="99" t="s">
        <v>141</v>
      </c>
      <c r="H103" s="99" t="s">
        <v>131</v>
      </c>
      <c r="I103" s="99" t="s">
        <v>53</v>
      </c>
      <c r="J103" s="99" t="s">
        <v>132</v>
      </c>
      <c r="K103" s="101" t="s">
        <v>138</v>
      </c>
      <c r="L103" s="65"/>
      <c r="M103" s="65"/>
    </row>
    <row r="104" spans="1:13" ht="20.100000000000001" customHeight="1" thickTop="1" x14ac:dyDescent="0.2">
      <c r="A104" s="102">
        <f>A5</f>
        <v>1</v>
      </c>
      <c r="B104" s="105">
        <f>B79</f>
        <v>1.9166666666642413</v>
      </c>
      <c r="C104" s="105">
        <f t="shared" ref="C104:D104" si="123">C79</f>
        <v>45.999999999941792</v>
      </c>
      <c r="D104" s="105">
        <f t="shared" si="123"/>
        <v>13.521739130451893</v>
      </c>
      <c r="E104" s="106">
        <f>IF(E79="","",E79/$B79)</f>
        <v>113.63636363636365</v>
      </c>
      <c r="F104" s="106">
        <f t="shared" ref="F104:I104" si="124">IF(F79="","",F79/$B79)</f>
        <v>0.7</v>
      </c>
      <c r="G104" s="106">
        <f t="shared" si="124"/>
        <v>0</v>
      </c>
      <c r="H104" s="106">
        <f t="shared" si="124"/>
        <v>69.724255599999992</v>
      </c>
      <c r="I104" s="106">
        <f t="shared" si="124"/>
        <v>0</v>
      </c>
      <c r="J104" s="106">
        <f>IF(J79="","",J79/$B79)</f>
        <v>69.724255599999992</v>
      </c>
      <c r="K104" s="107">
        <f>IF(K79="","",K79/$B79)</f>
        <v>0</v>
      </c>
      <c r="L104" s="67"/>
      <c r="M104" s="67"/>
    </row>
    <row r="105" spans="1:13" ht="20.100000000000001" customHeight="1" x14ac:dyDescent="0.2">
      <c r="A105" s="102">
        <f t="shared" ref="A105:A123" si="125">A6</f>
        <v>2</v>
      </c>
      <c r="B105" s="108">
        <f t="shared" ref="B105:D105" si="126">B80</f>
        <v>0.33333333333575865</v>
      </c>
      <c r="C105" s="108">
        <f t="shared" si="126"/>
        <v>8.0000000000582077</v>
      </c>
      <c r="D105" s="108">
        <f t="shared" si="126"/>
        <v>0</v>
      </c>
      <c r="E105" s="109">
        <f t="shared" ref="E105:I123" si="127">IF(E80="","",E80/$B80)</f>
        <v>43.388429752066116</v>
      </c>
      <c r="F105" s="109">
        <f t="shared" si="127"/>
        <v>3.1</v>
      </c>
      <c r="G105" s="109">
        <f t="shared" si="127"/>
        <v>0</v>
      </c>
      <c r="H105" s="109">
        <f t="shared" si="127"/>
        <v>69.724255599999992</v>
      </c>
      <c r="I105" s="109">
        <f t="shared" si="127"/>
        <v>0</v>
      </c>
      <c r="J105" s="109">
        <f t="shared" ref="J105:K105" si="128">IF(J80="","",J80/$B80)</f>
        <v>69.724255599999992</v>
      </c>
      <c r="K105" s="110">
        <f t="shared" si="128"/>
        <v>26.335825847933869</v>
      </c>
      <c r="L105" s="67"/>
      <c r="M105" s="67"/>
    </row>
    <row r="106" spans="1:13" ht="20.100000000000001" customHeight="1" x14ac:dyDescent="0.2">
      <c r="A106" s="102">
        <f t="shared" si="125"/>
        <v>3</v>
      </c>
      <c r="B106" s="108">
        <f t="shared" ref="B106:D106" si="129">B81</f>
        <v>0.83333333333575865</v>
      </c>
      <c r="C106" s="108">
        <f t="shared" si="129"/>
        <v>20.000000000058208</v>
      </c>
      <c r="D106" s="108">
        <f t="shared" si="129"/>
        <v>12.249999999964349</v>
      </c>
      <c r="E106" s="109">
        <f t="shared" si="127"/>
        <v>99.173553719008282</v>
      </c>
      <c r="F106" s="109">
        <f t="shared" si="127"/>
        <v>0.7</v>
      </c>
      <c r="G106" s="109">
        <f t="shared" si="127"/>
        <v>0</v>
      </c>
      <c r="H106" s="109">
        <f t="shared" si="127"/>
        <v>69.724255599999992</v>
      </c>
      <c r="I106" s="109">
        <f t="shared" si="127"/>
        <v>0</v>
      </c>
      <c r="J106" s="109">
        <f t="shared" ref="J106:K106" si="130">IF(J81="","",J81/$B81)</f>
        <v>69.724255599999992</v>
      </c>
      <c r="K106" s="110">
        <f t="shared" si="130"/>
        <v>0</v>
      </c>
      <c r="L106" s="67"/>
      <c r="M106" s="67"/>
    </row>
    <row r="107" spans="1:13" ht="20.100000000000001" customHeight="1" x14ac:dyDescent="0.2">
      <c r="A107" s="102">
        <f t="shared" si="125"/>
        <v>4</v>
      </c>
      <c r="B107" s="108">
        <f t="shared" ref="B107:D107" si="131">B82</f>
        <v>3.6666666666642413</v>
      </c>
      <c r="C107" s="108">
        <f t="shared" si="131"/>
        <v>87.999999999941792</v>
      </c>
      <c r="D107" s="108">
        <f t="shared" si="131"/>
        <v>0</v>
      </c>
      <c r="E107" s="109">
        <f t="shared" si="127"/>
        <v>43.388429752066124</v>
      </c>
      <c r="F107" s="109">
        <f t="shared" si="127"/>
        <v>3.1</v>
      </c>
      <c r="G107" s="109">
        <f t="shared" si="127"/>
        <v>0</v>
      </c>
      <c r="H107" s="109">
        <f t="shared" si="127"/>
        <v>69.724255599999992</v>
      </c>
      <c r="I107" s="109">
        <f t="shared" si="127"/>
        <v>0</v>
      </c>
      <c r="J107" s="109">
        <f t="shared" ref="J107:K107" si="132">IF(J82="","",J82/$B82)</f>
        <v>69.724255599999992</v>
      </c>
      <c r="K107" s="110">
        <f t="shared" si="132"/>
        <v>26.335825847933872</v>
      </c>
      <c r="L107" s="67"/>
      <c r="M107" s="67"/>
    </row>
    <row r="108" spans="1:13" ht="20.100000000000001" customHeight="1" x14ac:dyDescent="0.2">
      <c r="A108" s="102">
        <f t="shared" si="125"/>
        <v>5</v>
      </c>
      <c r="B108" s="108">
        <f t="shared" ref="B108:D108" si="133">B83</f>
        <v>0.16666666666424135</v>
      </c>
      <c r="C108" s="108">
        <f t="shared" si="133"/>
        <v>3.9999999999417923</v>
      </c>
      <c r="D108" s="108">
        <f t="shared" si="133"/>
        <v>10.000000000145519</v>
      </c>
      <c r="E108" s="109">
        <f t="shared" si="127"/>
        <v>97.107438016528931</v>
      </c>
      <c r="F108" s="109">
        <f t="shared" si="127"/>
        <v>3.2</v>
      </c>
      <c r="G108" s="109">
        <f t="shared" si="127"/>
        <v>0</v>
      </c>
      <c r="H108" s="109">
        <f t="shared" si="127"/>
        <v>69.724255599999992</v>
      </c>
      <c r="I108" s="109">
        <f t="shared" si="127"/>
        <v>10</v>
      </c>
      <c r="J108" s="109">
        <f t="shared" ref="J108:K108" si="134">IF(J83="","",J83/$B83)</f>
        <v>79.724255599999992</v>
      </c>
      <c r="K108" s="110">
        <f t="shared" si="134"/>
        <v>0</v>
      </c>
      <c r="L108" s="67"/>
      <c r="M108" s="67"/>
    </row>
    <row r="109" spans="1:13" ht="20.100000000000001" customHeight="1" x14ac:dyDescent="0.2">
      <c r="A109" s="102">
        <f t="shared" si="125"/>
        <v>6</v>
      </c>
      <c r="B109" s="108" t="str">
        <f t="shared" ref="B109:D109" si="135">B84</f>
        <v/>
      </c>
      <c r="C109" s="108" t="str">
        <f t="shared" si="135"/>
        <v/>
      </c>
      <c r="D109" s="108" t="str">
        <f t="shared" si="135"/>
        <v/>
      </c>
      <c r="E109" s="109" t="str">
        <f t="shared" si="127"/>
        <v/>
      </c>
      <c r="F109" s="109" t="str">
        <f t="shared" si="127"/>
        <v/>
      </c>
      <c r="G109" s="109" t="str">
        <f t="shared" si="127"/>
        <v/>
      </c>
      <c r="H109" s="109" t="str">
        <f t="shared" si="127"/>
        <v/>
      </c>
      <c r="I109" s="109" t="str">
        <f t="shared" si="127"/>
        <v/>
      </c>
      <c r="J109" s="109" t="str">
        <f t="shared" ref="J109:K109" si="136">IF(J84="","",J84/$B84)</f>
        <v/>
      </c>
      <c r="K109" s="110" t="str">
        <f t="shared" si="136"/>
        <v/>
      </c>
      <c r="L109" s="67"/>
      <c r="M109" s="67"/>
    </row>
    <row r="110" spans="1:13" ht="20.100000000000001" customHeight="1" x14ac:dyDescent="0.2">
      <c r="A110" s="102">
        <f t="shared" si="125"/>
        <v>7</v>
      </c>
      <c r="B110" s="108" t="str">
        <f t="shared" ref="B110:D110" si="137">B85</f>
        <v/>
      </c>
      <c r="C110" s="108" t="str">
        <f t="shared" si="137"/>
        <v/>
      </c>
      <c r="D110" s="108" t="str">
        <f t="shared" si="137"/>
        <v/>
      </c>
      <c r="E110" s="109" t="str">
        <f t="shared" si="127"/>
        <v/>
      </c>
      <c r="F110" s="109" t="str">
        <f t="shared" si="127"/>
        <v/>
      </c>
      <c r="G110" s="109" t="str">
        <f t="shared" si="127"/>
        <v/>
      </c>
      <c r="H110" s="109" t="str">
        <f t="shared" si="127"/>
        <v/>
      </c>
      <c r="I110" s="109" t="str">
        <f t="shared" si="127"/>
        <v/>
      </c>
      <c r="J110" s="109" t="str">
        <f t="shared" ref="J110:K110" si="138">IF(J85="","",J85/$B85)</f>
        <v/>
      </c>
      <c r="K110" s="110" t="str">
        <f t="shared" si="138"/>
        <v/>
      </c>
      <c r="L110" s="67"/>
      <c r="M110" s="67"/>
    </row>
    <row r="111" spans="1:13" ht="20.100000000000001" customHeight="1" x14ac:dyDescent="0.2">
      <c r="A111" s="102">
        <f t="shared" si="125"/>
        <v>8</v>
      </c>
      <c r="B111" s="108" t="str">
        <f t="shared" ref="B111:D111" si="139">B86</f>
        <v/>
      </c>
      <c r="C111" s="108" t="str">
        <f t="shared" si="139"/>
        <v/>
      </c>
      <c r="D111" s="108" t="str">
        <f t="shared" si="139"/>
        <v/>
      </c>
      <c r="E111" s="109" t="str">
        <f t="shared" si="127"/>
        <v/>
      </c>
      <c r="F111" s="109" t="str">
        <f t="shared" si="127"/>
        <v/>
      </c>
      <c r="G111" s="109" t="str">
        <f t="shared" si="127"/>
        <v/>
      </c>
      <c r="H111" s="109" t="str">
        <f t="shared" si="127"/>
        <v/>
      </c>
      <c r="I111" s="109" t="str">
        <f t="shared" si="127"/>
        <v/>
      </c>
      <c r="J111" s="109" t="str">
        <f t="shared" ref="J111:K111" si="140">IF(J86="","",J86/$B86)</f>
        <v/>
      </c>
      <c r="K111" s="110" t="str">
        <f t="shared" si="140"/>
        <v/>
      </c>
      <c r="L111" s="67"/>
      <c r="M111" s="67"/>
    </row>
    <row r="112" spans="1:13" ht="20.100000000000001" customHeight="1" x14ac:dyDescent="0.2">
      <c r="A112" s="102">
        <f t="shared" si="125"/>
        <v>9</v>
      </c>
      <c r="B112" s="108" t="str">
        <f t="shared" ref="B112:D112" si="141">B87</f>
        <v/>
      </c>
      <c r="C112" s="108" t="str">
        <f t="shared" si="141"/>
        <v/>
      </c>
      <c r="D112" s="108" t="str">
        <f t="shared" si="141"/>
        <v/>
      </c>
      <c r="E112" s="109" t="str">
        <f t="shared" si="127"/>
        <v/>
      </c>
      <c r="F112" s="109" t="str">
        <f t="shared" si="127"/>
        <v/>
      </c>
      <c r="G112" s="109" t="str">
        <f t="shared" si="127"/>
        <v/>
      </c>
      <c r="H112" s="109" t="str">
        <f t="shared" si="127"/>
        <v/>
      </c>
      <c r="I112" s="109" t="str">
        <f t="shared" si="127"/>
        <v/>
      </c>
      <c r="J112" s="109" t="str">
        <f t="shared" ref="J112:K112" si="142">IF(J87="","",J87/$B87)</f>
        <v/>
      </c>
      <c r="K112" s="110" t="str">
        <f t="shared" si="142"/>
        <v/>
      </c>
      <c r="L112" s="67"/>
      <c r="M112" s="67"/>
    </row>
    <row r="113" spans="1:13" ht="20.100000000000001" customHeight="1" x14ac:dyDescent="0.2">
      <c r="A113" s="102">
        <f t="shared" si="125"/>
        <v>10</v>
      </c>
      <c r="B113" s="108" t="str">
        <f t="shared" ref="B113:D113" si="143">B88</f>
        <v/>
      </c>
      <c r="C113" s="108" t="str">
        <f t="shared" si="143"/>
        <v/>
      </c>
      <c r="D113" s="108" t="str">
        <f t="shared" si="143"/>
        <v/>
      </c>
      <c r="E113" s="109" t="str">
        <f t="shared" si="127"/>
        <v/>
      </c>
      <c r="F113" s="109" t="str">
        <f t="shared" si="127"/>
        <v/>
      </c>
      <c r="G113" s="109" t="str">
        <f t="shared" si="127"/>
        <v/>
      </c>
      <c r="H113" s="109" t="str">
        <f t="shared" si="127"/>
        <v/>
      </c>
      <c r="I113" s="109" t="str">
        <f t="shared" si="127"/>
        <v/>
      </c>
      <c r="J113" s="109" t="str">
        <f t="shared" ref="J113:K113" si="144">IF(J88="","",J88/$B88)</f>
        <v/>
      </c>
      <c r="K113" s="110" t="str">
        <f t="shared" si="144"/>
        <v/>
      </c>
      <c r="L113" s="67"/>
      <c r="M113" s="67"/>
    </row>
    <row r="114" spans="1:13" ht="20.100000000000001" customHeight="1" x14ac:dyDescent="0.2">
      <c r="A114" s="102">
        <f t="shared" si="125"/>
        <v>11</v>
      </c>
      <c r="B114" s="108" t="str">
        <f t="shared" ref="B114:D114" si="145">B89</f>
        <v/>
      </c>
      <c r="C114" s="108" t="str">
        <f t="shared" si="145"/>
        <v/>
      </c>
      <c r="D114" s="108" t="str">
        <f t="shared" si="145"/>
        <v/>
      </c>
      <c r="E114" s="109" t="str">
        <f t="shared" si="127"/>
        <v/>
      </c>
      <c r="F114" s="109" t="str">
        <f t="shared" si="127"/>
        <v/>
      </c>
      <c r="G114" s="109" t="str">
        <f t="shared" si="127"/>
        <v/>
      </c>
      <c r="H114" s="109" t="str">
        <f t="shared" si="127"/>
        <v/>
      </c>
      <c r="I114" s="109" t="str">
        <f t="shared" si="127"/>
        <v/>
      </c>
      <c r="J114" s="109" t="str">
        <f t="shared" ref="J114:K114" si="146">IF(J89="","",J89/$B89)</f>
        <v/>
      </c>
      <c r="K114" s="110" t="str">
        <f t="shared" si="146"/>
        <v/>
      </c>
      <c r="L114" s="67"/>
      <c r="M114" s="67"/>
    </row>
    <row r="115" spans="1:13" ht="20.100000000000001" customHeight="1" x14ac:dyDescent="0.2">
      <c r="A115" s="102">
        <f t="shared" si="125"/>
        <v>12</v>
      </c>
      <c r="B115" s="108" t="str">
        <f t="shared" ref="B115:D115" si="147">B90</f>
        <v/>
      </c>
      <c r="C115" s="108" t="str">
        <f t="shared" si="147"/>
        <v/>
      </c>
      <c r="D115" s="108" t="str">
        <f t="shared" si="147"/>
        <v/>
      </c>
      <c r="E115" s="109" t="str">
        <f t="shared" si="127"/>
        <v/>
      </c>
      <c r="F115" s="109" t="str">
        <f t="shared" si="127"/>
        <v/>
      </c>
      <c r="G115" s="109" t="str">
        <f t="shared" si="127"/>
        <v/>
      </c>
      <c r="H115" s="109" t="str">
        <f t="shared" si="127"/>
        <v/>
      </c>
      <c r="I115" s="109" t="str">
        <f t="shared" si="127"/>
        <v/>
      </c>
      <c r="J115" s="109" t="str">
        <f t="shared" ref="J115:K115" si="148">IF(J90="","",J90/$B90)</f>
        <v/>
      </c>
      <c r="K115" s="110" t="str">
        <f t="shared" si="148"/>
        <v/>
      </c>
      <c r="L115" s="67"/>
      <c r="M115" s="67"/>
    </row>
    <row r="116" spans="1:13" ht="20.100000000000001" customHeight="1" x14ac:dyDescent="0.2">
      <c r="A116" s="102">
        <f t="shared" si="125"/>
        <v>13</v>
      </c>
      <c r="B116" s="108" t="str">
        <f t="shared" ref="B116:D116" si="149">B91</f>
        <v/>
      </c>
      <c r="C116" s="108" t="str">
        <f t="shared" si="149"/>
        <v/>
      </c>
      <c r="D116" s="108" t="str">
        <f t="shared" si="149"/>
        <v/>
      </c>
      <c r="E116" s="109" t="str">
        <f t="shared" si="127"/>
        <v/>
      </c>
      <c r="F116" s="109" t="str">
        <f t="shared" si="127"/>
        <v/>
      </c>
      <c r="G116" s="109" t="str">
        <f t="shared" si="127"/>
        <v/>
      </c>
      <c r="H116" s="109" t="str">
        <f t="shared" si="127"/>
        <v/>
      </c>
      <c r="I116" s="109" t="str">
        <f t="shared" si="127"/>
        <v/>
      </c>
      <c r="J116" s="109" t="str">
        <f t="shared" ref="J116:K116" si="150">IF(J91="","",J91/$B91)</f>
        <v/>
      </c>
      <c r="K116" s="110" t="str">
        <f t="shared" si="150"/>
        <v/>
      </c>
      <c r="L116" s="67"/>
      <c r="M116" s="67"/>
    </row>
    <row r="117" spans="1:13" ht="20.100000000000001" customHeight="1" x14ac:dyDescent="0.2">
      <c r="A117" s="102">
        <f t="shared" si="125"/>
        <v>14</v>
      </c>
      <c r="B117" s="108" t="str">
        <f t="shared" ref="B117:D117" si="151">B92</f>
        <v/>
      </c>
      <c r="C117" s="108" t="str">
        <f t="shared" si="151"/>
        <v/>
      </c>
      <c r="D117" s="108" t="str">
        <f t="shared" si="151"/>
        <v/>
      </c>
      <c r="E117" s="109" t="str">
        <f t="shared" si="127"/>
        <v/>
      </c>
      <c r="F117" s="109" t="str">
        <f t="shared" si="127"/>
        <v/>
      </c>
      <c r="G117" s="109" t="str">
        <f t="shared" si="127"/>
        <v/>
      </c>
      <c r="H117" s="109" t="str">
        <f t="shared" si="127"/>
        <v/>
      </c>
      <c r="I117" s="109" t="str">
        <f t="shared" si="127"/>
        <v/>
      </c>
      <c r="J117" s="109" t="str">
        <f t="shared" ref="J117:K117" si="152">IF(J92="","",J92/$B92)</f>
        <v/>
      </c>
      <c r="K117" s="110" t="str">
        <f t="shared" si="152"/>
        <v/>
      </c>
      <c r="L117" s="67"/>
      <c r="M117" s="67"/>
    </row>
    <row r="118" spans="1:13" ht="20.100000000000001" customHeight="1" x14ac:dyDescent="0.2">
      <c r="A118" s="102">
        <f t="shared" si="125"/>
        <v>15</v>
      </c>
      <c r="B118" s="108" t="str">
        <f t="shared" ref="B118:D118" si="153">B93</f>
        <v/>
      </c>
      <c r="C118" s="108" t="str">
        <f t="shared" si="153"/>
        <v/>
      </c>
      <c r="D118" s="108" t="str">
        <f t="shared" si="153"/>
        <v/>
      </c>
      <c r="E118" s="109" t="str">
        <f t="shared" si="127"/>
        <v/>
      </c>
      <c r="F118" s="109" t="str">
        <f t="shared" si="127"/>
        <v/>
      </c>
      <c r="G118" s="109" t="str">
        <f t="shared" si="127"/>
        <v/>
      </c>
      <c r="H118" s="109" t="str">
        <f t="shared" si="127"/>
        <v/>
      </c>
      <c r="I118" s="109" t="str">
        <f t="shared" si="127"/>
        <v/>
      </c>
      <c r="J118" s="109" t="str">
        <f t="shared" ref="J118:K118" si="154">IF(J93="","",J93/$B93)</f>
        <v/>
      </c>
      <c r="K118" s="110" t="str">
        <f t="shared" si="154"/>
        <v/>
      </c>
      <c r="L118" s="67"/>
      <c r="M118" s="67"/>
    </row>
    <row r="119" spans="1:13" ht="20.100000000000001" customHeight="1" x14ac:dyDescent="0.2">
      <c r="A119" s="102">
        <f t="shared" si="125"/>
        <v>16</v>
      </c>
      <c r="B119" s="108" t="str">
        <f t="shared" ref="B119:D119" si="155">B94</f>
        <v/>
      </c>
      <c r="C119" s="108" t="str">
        <f t="shared" si="155"/>
        <v/>
      </c>
      <c r="D119" s="108" t="str">
        <f t="shared" si="155"/>
        <v/>
      </c>
      <c r="E119" s="109" t="str">
        <f t="shared" si="127"/>
        <v/>
      </c>
      <c r="F119" s="109" t="str">
        <f t="shared" si="127"/>
        <v/>
      </c>
      <c r="G119" s="109" t="str">
        <f t="shared" si="127"/>
        <v/>
      </c>
      <c r="H119" s="109" t="str">
        <f t="shared" si="127"/>
        <v/>
      </c>
      <c r="I119" s="109" t="str">
        <f t="shared" si="127"/>
        <v/>
      </c>
      <c r="J119" s="109" t="str">
        <f t="shared" ref="J119:K119" si="156">IF(J94="","",J94/$B94)</f>
        <v/>
      </c>
      <c r="K119" s="110" t="str">
        <f t="shared" si="156"/>
        <v/>
      </c>
      <c r="L119" s="67"/>
      <c r="M119" s="67"/>
    </row>
    <row r="120" spans="1:13" ht="20.100000000000001" customHeight="1" x14ac:dyDescent="0.2">
      <c r="A120" s="102">
        <f t="shared" si="125"/>
        <v>17</v>
      </c>
      <c r="B120" s="108" t="str">
        <f t="shared" ref="B120:D120" si="157">B95</f>
        <v/>
      </c>
      <c r="C120" s="108" t="str">
        <f t="shared" si="157"/>
        <v/>
      </c>
      <c r="D120" s="108" t="str">
        <f t="shared" si="157"/>
        <v/>
      </c>
      <c r="E120" s="109" t="str">
        <f t="shared" si="127"/>
        <v/>
      </c>
      <c r="F120" s="109" t="str">
        <f t="shared" si="127"/>
        <v/>
      </c>
      <c r="G120" s="109" t="str">
        <f t="shared" si="127"/>
        <v/>
      </c>
      <c r="H120" s="109" t="str">
        <f t="shared" si="127"/>
        <v/>
      </c>
      <c r="I120" s="109" t="str">
        <f t="shared" si="127"/>
        <v/>
      </c>
      <c r="J120" s="109" t="str">
        <f t="shared" ref="J120:K120" si="158">IF(J95="","",J95/$B95)</f>
        <v/>
      </c>
      <c r="K120" s="110" t="str">
        <f t="shared" si="158"/>
        <v/>
      </c>
      <c r="L120" s="67"/>
      <c r="M120" s="67"/>
    </row>
    <row r="121" spans="1:13" ht="20.100000000000001" customHeight="1" x14ac:dyDescent="0.2">
      <c r="A121" s="102">
        <f t="shared" si="125"/>
        <v>18</v>
      </c>
      <c r="B121" s="108" t="str">
        <f t="shared" ref="B121:D121" si="159">B96</f>
        <v/>
      </c>
      <c r="C121" s="108" t="str">
        <f t="shared" si="159"/>
        <v/>
      </c>
      <c r="D121" s="108" t="str">
        <f t="shared" si="159"/>
        <v/>
      </c>
      <c r="E121" s="109" t="str">
        <f t="shared" si="127"/>
        <v/>
      </c>
      <c r="F121" s="109" t="str">
        <f t="shared" si="127"/>
        <v/>
      </c>
      <c r="G121" s="109" t="str">
        <f t="shared" si="127"/>
        <v/>
      </c>
      <c r="H121" s="109" t="str">
        <f t="shared" si="127"/>
        <v/>
      </c>
      <c r="I121" s="109" t="str">
        <f t="shared" si="127"/>
        <v/>
      </c>
      <c r="J121" s="109" t="str">
        <f t="shared" ref="J121:K121" si="160">IF(J96="","",J96/$B96)</f>
        <v/>
      </c>
      <c r="K121" s="110" t="str">
        <f t="shared" si="160"/>
        <v/>
      </c>
      <c r="L121" s="67"/>
      <c r="M121" s="67"/>
    </row>
    <row r="122" spans="1:13" ht="20.100000000000001" customHeight="1" x14ac:dyDescent="0.2">
      <c r="A122" s="102">
        <f t="shared" si="125"/>
        <v>19</v>
      </c>
      <c r="B122" s="108" t="str">
        <f t="shared" ref="B122:D122" si="161">B97</f>
        <v/>
      </c>
      <c r="C122" s="108" t="str">
        <f t="shared" si="161"/>
        <v/>
      </c>
      <c r="D122" s="108" t="str">
        <f t="shared" si="161"/>
        <v/>
      </c>
      <c r="E122" s="109" t="str">
        <f t="shared" si="127"/>
        <v/>
      </c>
      <c r="F122" s="109" t="str">
        <f t="shared" si="127"/>
        <v/>
      </c>
      <c r="G122" s="109" t="str">
        <f t="shared" si="127"/>
        <v/>
      </c>
      <c r="H122" s="109" t="str">
        <f t="shared" si="127"/>
        <v/>
      </c>
      <c r="I122" s="109" t="str">
        <f t="shared" si="127"/>
        <v/>
      </c>
      <c r="J122" s="109" t="str">
        <f t="shared" ref="J122:K122" si="162">IF(J97="","",J97/$B97)</f>
        <v/>
      </c>
      <c r="K122" s="110" t="str">
        <f t="shared" si="162"/>
        <v/>
      </c>
      <c r="L122" s="67"/>
      <c r="M122" s="67"/>
    </row>
    <row r="123" spans="1:13" ht="20.100000000000001" customHeight="1" thickBot="1" x14ac:dyDescent="0.25">
      <c r="A123" s="102">
        <f t="shared" si="125"/>
        <v>20</v>
      </c>
      <c r="B123" s="111" t="str">
        <f t="shared" ref="B123:D123" si="163">B98</f>
        <v/>
      </c>
      <c r="C123" s="111" t="str">
        <f t="shared" si="163"/>
        <v/>
      </c>
      <c r="D123" s="111" t="str">
        <f t="shared" si="163"/>
        <v/>
      </c>
      <c r="E123" s="112" t="str">
        <f t="shared" si="127"/>
        <v/>
      </c>
      <c r="F123" s="112" t="str">
        <f t="shared" si="127"/>
        <v/>
      </c>
      <c r="G123" s="112" t="str">
        <f t="shared" si="127"/>
        <v/>
      </c>
      <c r="H123" s="112" t="str">
        <f t="shared" si="127"/>
        <v/>
      </c>
      <c r="I123" s="112" t="str">
        <f t="shared" si="127"/>
        <v/>
      </c>
      <c r="J123" s="112" t="str">
        <f t="shared" ref="J123:K123" si="164">IF(J98="","",J98/$B98)</f>
        <v/>
      </c>
      <c r="K123" s="115" t="str">
        <f t="shared" si="164"/>
        <v/>
      </c>
      <c r="L123" s="67"/>
      <c r="M123" s="67"/>
    </row>
    <row r="124" spans="1:13" ht="20.100000000000001" customHeight="1" thickTop="1" thickBot="1" x14ac:dyDescent="0.25">
      <c r="A124" s="51" t="s">
        <v>0</v>
      </c>
      <c r="B124" s="73">
        <f t="shared" ref="B124" si="165">SUM(B104:B123)</f>
        <v>6.9166666666642413</v>
      </c>
      <c r="C124" s="73">
        <f t="shared" ref="C124" si="166">SUM(C104:C123)</f>
        <v>165.99999999994179</v>
      </c>
      <c r="D124" s="73">
        <f>F25/M25</f>
        <v>5.4638554216886632</v>
      </c>
      <c r="E124" s="73">
        <f>E99/$B99</f>
        <v>70.870257891054138</v>
      </c>
      <c r="F124" s="73">
        <f t="shared" ref="F124:K124" si="167">F99/$B99</f>
        <v>2.1481927710839686</v>
      </c>
      <c r="G124" s="73">
        <f t="shared" si="167"/>
        <v>0</v>
      </c>
      <c r="H124" s="73">
        <f t="shared" si="167"/>
        <v>69.724255599999992</v>
      </c>
      <c r="I124" s="73">
        <f t="shared" si="167"/>
        <v>0.24096385541826476</v>
      </c>
      <c r="J124" s="73">
        <f t="shared" si="167"/>
        <v>69.96521945541825</v>
      </c>
      <c r="K124" s="74">
        <f t="shared" si="167"/>
        <v>15.230357116882759</v>
      </c>
      <c r="L124" s="68"/>
      <c r="M124" s="68"/>
    </row>
    <row r="125" spans="1:13" ht="20.100000000000001" customHeight="1" thickTop="1" x14ac:dyDescent="0.2"/>
  </sheetData>
  <sheetProtection sheet="1" objects="1" scenarios="1"/>
  <dataValidations count="4">
    <dataValidation type="list" allowBlank="1" showInputMessage="1" showErrorMessage="1" sqref="G5:G24" xr:uid="{00000000-0002-0000-0500-000000000000}">
      <formula1>$R$5:$R$13</formula1>
    </dataValidation>
    <dataValidation type="list" allowBlank="1" showInputMessage="1" showErrorMessage="1" sqref="I5:J24" xr:uid="{00000000-0002-0000-0500-000001000000}">
      <formula1>$T$5:$T$7</formula1>
    </dataValidation>
    <dataValidation type="list" allowBlank="1" showInputMessage="1" showErrorMessage="1" sqref="K5:K24" xr:uid="{00000000-0002-0000-0500-000002000000}">
      <formula1>$V$5:$V$8</formula1>
    </dataValidation>
    <dataValidation type="list" allowBlank="1" showInputMessage="1" showErrorMessage="1" sqref="H5:H24" xr:uid="{00000000-0002-0000-0500-000003000000}">
      <formula1>$P$5:$P$7</formula1>
    </dataValidation>
  </dataValidations>
  <pageMargins left="0.75" right="0.75" top="1" bottom="1" header="0.5" footer="0.5"/>
  <pageSetup orientation="portrait" horizontalDpi="4294967294" verticalDpi="300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6C69"/>
  </sheetPr>
  <dimension ref="A1:BB125"/>
  <sheetViews>
    <sheetView showGridLines="0" workbookViewId="0">
      <pane ySplit="1" topLeftCell="A2" activePane="bottomLeft" state="frozen"/>
      <selection pane="bottomLeft" activeCell="A3" sqref="A3"/>
    </sheetView>
  </sheetViews>
  <sheetFormatPr defaultColWidth="8.85546875" defaultRowHeight="20.100000000000001" customHeight="1" x14ac:dyDescent="0.2"/>
  <cols>
    <col min="1" max="1" width="30.7109375" style="1" customWidth="1"/>
    <col min="2" max="12" width="20.7109375" style="1" customWidth="1"/>
    <col min="13" max="22" width="20.7109375" style="1" hidden="1" customWidth="1"/>
    <col min="23" max="23" width="21.140625" style="1" hidden="1" customWidth="1"/>
    <col min="24" max="54" width="20.7109375" style="1" hidden="1" customWidth="1"/>
    <col min="55" max="64" width="20.7109375" style="1" customWidth="1"/>
    <col min="65" max="255" width="8.85546875" style="1"/>
    <col min="256" max="256" width="11.85546875" style="1" customWidth="1"/>
    <col min="257" max="257" width="15" style="1" customWidth="1"/>
    <col min="258" max="258" width="12.85546875" style="1" customWidth="1"/>
    <col min="259" max="259" width="13.5703125" style="1" customWidth="1"/>
    <col min="260" max="260" width="14.140625" style="1" customWidth="1"/>
    <col min="261" max="261" width="12.5703125" style="1" customWidth="1"/>
    <col min="262" max="262" width="13.28515625" style="1" customWidth="1"/>
    <col min="263" max="511" width="8.85546875" style="1"/>
    <col min="512" max="512" width="11.85546875" style="1" customWidth="1"/>
    <col min="513" max="513" width="15" style="1" customWidth="1"/>
    <col min="514" max="514" width="12.85546875" style="1" customWidth="1"/>
    <col min="515" max="515" width="13.5703125" style="1" customWidth="1"/>
    <col min="516" max="516" width="14.140625" style="1" customWidth="1"/>
    <col min="517" max="517" width="12.5703125" style="1" customWidth="1"/>
    <col min="518" max="518" width="13.28515625" style="1" customWidth="1"/>
    <col min="519" max="767" width="8.85546875" style="1"/>
    <col min="768" max="768" width="11.85546875" style="1" customWidth="1"/>
    <col min="769" max="769" width="15" style="1" customWidth="1"/>
    <col min="770" max="770" width="12.85546875" style="1" customWidth="1"/>
    <col min="771" max="771" width="13.5703125" style="1" customWidth="1"/>
    <col min="772" max="772" width="14.140625" style="1" customWidth="1"/>
    <col min="773" max="773" width="12.5703125" style="1" customWidth="1"/>
    <col min="774" max="774" width="13.28515625" style="1" customWidth="1"/>
    <col min="775" max="1023" width="8.85546875" style="1"/>
    <col min="1024" max="1024" width="11.85546875" style="1" customWidth="1"/>
    <col min="1025" max="1025" width="15" style="1" customWidth="1"/>
    <col min="1026" max="1026" width="12.85546875" style="1" customWidth="1"/>
    <col min="1027" max="1027" width="13.5703125" style="1" customWidth="1"/>
    <col min="1028" max="1028" width="14.140625" style="1" customWidth="1"/>
    <col min="1029" max="1029" width="12.5703125" style="1" customWidth="1"/>
    <col min="1030" max="1030" width="13.28515625" style="1" customWidth="1"/>
    <col min="1031" max="1279" width="8.85546875" style="1"/>
    <col min="1280" max="1280" width="11.85546875" style="1" customWidth="1"/>
    <col min="1281" max="1281" width="15" style="1" customWidth="1"/>
    <col min="1282" max="1282" width="12.85546875" style="1" customWidth="1"/>
    <col min="1283" max="1283" width="13.5703125" style="1" customWidth="1"/>
    <col min="1284" max="1284" width="14.140625" style="1" customWidth="1"/>
    <col min="1285" max="1285" width="12.5703125" style="1" customWidth="1"/>
    <col min="1286" max="1286" width="13.28515625" style="1" customWidth="1"/>
    <col min="1287" max="1535" width="8.85546875" style="1"/>
    <col min="1536" max="1536" width="11.85546875" style="1" customWidth="1"/>
    <col min="1537" max="1537" width="15" style="1" customWidth="1"/>
    <col min="1538" max="1538" width="12.85546875" style="1" customWidth="1"/>
    <col min="1539" max="1539" width="13.5703125" style="1" customWidth="1"/>
    <col min="1540" max="1540" width="14.140625" style="1" customWidth="1"/>
    <col min="1541" max="1541" width="12.5703125" style="1" customWidth="1"/>
    <col min="1542" max="1542" width="13.28515625" style="1" customWidth="1"/>
    <col min="1543" max="1791" width="8.85546875" style="1"/>
    <col min="1792" max="1792" width="11.85546875" style="1" customWidth="1"/>
    <col min="1793" max="1793" width="15" style="1" customWidth="1"/>
    <col min="1794" max="1794" width="12.85546875" style="1" customWidth="1"/>
    <col min="1795" max="1795" width="13.5703125" style="1" customWidth="1"/>
    <col min="1796" max="1796" width="14.140625" style="1" customWidth="1"/>
    <col min="1797" max="1797" width="12.5703125" style="1" customWidth="1"/>
    <col min="1798" max="1798" width="13.28515625" style="1" customWidth="1"/>
    <col min="1799" max="2047" width="8.85546875" style="1"/>
    <col min="2048" max="2048" width="11.85546875" style="1" customWidth="1"/>
    <col min="2049" max="2049" width="15" style="1" customWidth="1"/>
    <col min="2050" max="2050" width="12.85546875" style="1" customWidth="1"/>
    <col min="2051" max="2051" width="13.5703125" style="1" customWidth="1"/>
    <col min="2052" max="2052" width="14.140625" style="1" customWidth="1"/>
    <col min="2053" max="2053" width="12.5703125" style="1" customWidth="1"/>
    <col min="2054" max="2054" width="13.28515625" style="1" customWidth="1"/>
    <col min="2055" max="2303" width="8.85546875" style="1"/>
    <col min="2304" max="2304" width="11.85546875" style="1" customWidth="1"/>
    <col min="2305" max="2305" width="15" style="1" customWidth="1"/>
    <col min="2306" max="2306" width="12.85546875" style="1" customWidth="1"/>
    <col min="2307" max="2307" width="13.5703125" style="1" customWidth="1"/>
    <col min="2308" max="2308" width="14.140625" style="1" customWidth="1"/>
    <col min="2309" max="2309" width="12.5703125" style="1" customWidth="1"/>
    <col min="2310" max="2310" width="13.28515625" style="1" customWidth="1"/>
    <col min="2311" max="2559" width="8.85546875" style="1"/>
    <col min="2560" max="2560" width="11.85546875" style="1" customWidth="1"/>
    <col min="2561" max="2561" width="15" style="1" customWidth="1"/>
    <col min="2562" max="2562" width="12.85546875" style="1" customWidth="1"/>
    <col min="2563" max="2563" width="13.5703125" style="1" customWidth="1"/>
    <col min="2564" max="2564" width="14.140625" style="1" customWidth="1"/>
    <col min="2565" max="2565" width="12.5703125" style="1" customWidth="1"/>
    <col min="2566" max="2566" width="13.28515625" style="1" customWidth="1"/>
    <col min="2567" max="2815" width="8.85546875" style="1"/>
    <col min="2816" max="2816" width="11.85546875" style="1" customWidth="1"/>
    <col min="2817" max="2817" width="15" style="1" customWidth="1"/>
    <col min="2818" max="2818" width="12.85546875" style="1" customWidth="1"/>
    <col min="2819" max="2819" width="13.5703125" style="1" customWidth="1"/>
    <col min="2820" max="2820" width="14.140625" style="1" customWidth="1"/>
    <col min="2821" max="2821" width="12.5703125" style="1" customWidth="1"/>
    <col min="2822" max="2822" width="13.28515625" style="1" customWidth="1"/>
    <col min="2823" max="3071" width="8.85546875" style="1"/>
    <col min="3072" max="3072" width="11.85546875" style="1" customWidth="1"/>
    <col min="3073" max="3073" width="15" style="1" customWidth="1"/>
    <col min="3074" max="3074" width="12.85546875" style="1" customWidth="1"/>
    <col min="3075" max="3075" width="13.5703125" style="1" customWidth="1"/>
    <col min="3076" max="3076" width="14.140625" style="1" customWidth="1"/>
    <col min="3077" max="3077" width="12.5703125" style="1" customWidth="1"/>
    <col min="3078" max="3078" width="13.28515625" style="1" customWidth="1"/>
    <col min="3079" max="3327" width="8.85546875" style="1"/>
    <col min="3328" max="3328" width="11.85546875" style="1" customWidth="1"/>
    <col min="3329" max="3329" width="15" style="1" customWidth="1"/>
    <col min="3330" max="3330" width="12.85546875" style="1" customWidth="1"/>
    <col min="3331" max="3331" width="13.5703125" style="1" customWidth="1"/>
    <col min="3332" max="3332" width="14.140625" style="1" customWidth="1"/>
    <col min="3333" max="3333" width="12.5703125" style="1" customWidth="1"/>
    <col min="3334" max="3334" width="13.28515625" style="1" customWidth="1"/>
    <col min="3335" max="3583" width="8.85546875" style="1"/>
    <col min="3584" max="3584" width="11.85546875" style="1" customWidth="1"/>
    <col min="3585" max="3585" width="15" style="1" customWidth="1"/>
    <col min="3586" max="3586" width="12.85546875" style="1" customWidth="1"/>
    <col min="3587" max="3587" width="13.5703125" style="1" customWidth="1"/>
    <col min="3588" max="3588" width="14.140625" style="1" customWidth="1"/>
    <col min="3589" max="3589" width="12.5703125" style="1" customWidth="1"/>
    <col min="3590" max="3590" width="13.28515625" style="1" customWidth="1"/>
    <col min="3591" max="3839" width="8.85546875" style="1"/>
    <col min="3840" max="3840" width="11.85546875" style="1" customWidth="1"/>
    <col min="3841" max="3841" width="15" style="1" customWidth="1"/>
    <col min="3842" max="3842" width="12.85546875" style="1" customWidth="1"/>
    <col min="3843" max="3843" width="13.5703125" style="1" customWidth="1"/>
    <col min="3844" max="3844" width="14.140625" style="1" customWidth="1"/>
    <col min="3845" max="3845" width="12.5703125" style="1" customWidth="1"/>
    <col min="3846" max="3846" width="13.28515625" style="1" customWidth="1"/>
    <col min="3847" max="4095" width="8.85546875" style="1"/>
    <col min="4096" max="4096" width="11.85546875" style="1" customWidth="1"/>
    <col min="4097" max="4097" width="15" style="1" customWidth="1"/>
    <col min="4098" max="4098" width="12.85546875" style="1" customWidth="1"/>
    <col min="4099" max="4099" width="13.5703125" style="1" customWidth="1"/>
    <col min="4100" max="4100" width="14.140625" style="1" customWidth="1"/>
    <col min="4101" max="4101" width="12.5703125" style="1" customWidth="1"/>
    <col min="4102" max="4102" width="13.28515625" style="1" customWidth="1"/>
    <col min="4103" max="4351" width="8.85546875" style="1"/>
    <col min="4352" max="4352" width="11.85546875" style="1" customWidth="1"/>
    <col min="4353" max="4353" width="15" style="1" customWidth="1"/>
    <col min="4354" max="4354" width="12.85546875" style="1" customWidth="1"/>
    <col min="4355" max="4355" width="13.5703125" style="1" customWidth="1"/>
    <col min="4356" max="4356" width="14.140625" style="1" customWidth="1"/>
    <col min="4357" max="4357" width="12.5703125" style="1" customWidth="1"/>
    <col min="4358" max="4358" width="13.28515625" style="1" customWidth="1"/>
    <col min="4359" max="4607" width="8.85546875" style="1"/>
    <col min="4608" max="4608" width="11.85546875" style="1" customWidth="1"/>
    <col min="4609" max="4609" width="15" style="1" customWidth="1"/>
    <col min="4610" max="4610" width="12.85546875" style="1" customWidth="1"/>
    <col min="4611" max="4611" width="13.5703125" style="1" customWidth="1"/>
    <col min="4612" max="4612" width="14.140625" style="1" customWidth="1"/>
    <col min="4613" max="4613" width="12.5703125" style="1" customWidth="1"/>
    <col min="4614" max="4614" width="13.28515625" style="1" customWidth="1"/>
    <col min="4615" max="4863" width="8.85546875" style="1"/>
    <col min="4864" max="4864" width="11.85546875" style="1" customWidth="1"/>
    <col min="4865" max="4865" width="15" style="1" customWidth="1"/>
    <col min="4866" max="4866" width="12.85546875" style="1" customWidth="1"/>
    <col min="4867" max="4867" width="13.5703125" style="1" customWidth="1"/>
    <col min="4868" max="4868" width="14.140625" style="1" customWidth="1"/>
    <col min="4869" max="4869" width="12.5703125" style="1" customWidth="1"/>
    <col min="4870" max="4870" width="13.28515625" style="1" customWidth="1"/>
    <col min="4871" max="5119" width="8.85546875" style="1"/>
    <col min="5120" max="5120" width="11.85546875" style="1" customWidth="1"/>
    <col min="5121" max="5121" width="15" style="1" customWidth="1"/>
    <col min="5122" max="5122" width="12.85546875" style="1" customWidth="1"/>
    <col min="5123" max="5123" width="13.5703125" style="1" customWidth="1"/>
    <col min="5124" max="5124" width="14.140625" style="1" customWidth="1"/>
    <col min="5125" max="5125" width="12.5703125" style="1" customWidth="1"/>
    <col min="5126" max="5126" width="13.28515625" style="1" customWidth="1"/>
    <col min="5127" max="5375" width="8.85546875" style="1"/>
    <col min="5376" max="5376" width="11.85546875" style="1" customWidth="1"/>
    <col min="5377" max="5377" width="15" style="1" customWidth="1"/>
    <col min="5378" max="5378" width="12.85546875" style="1" customWidth="1"/>
    <col min="5379" max="5379" width="13.5703125" style="1" customWidth="1"/>
    <col min="5380" max="5380" width="14.140625" style="1" customWidth="1"/>
    <col min="5381" max="5381" width="12.5703125" style="1" customWidth="1"/>
    <col min="5382" max="5382" width="13.28515625" style="1" customWidth="1"/>
    <col min="5383" max="5631" width="8.85546875" style="1"/>
    <col min="5632" max="5632" width="11.85546875" style="1" customWidth="1"/>
    <col min="5633" max="5633" width="15" style="1" customWidth="1"/>
    <col min="5634" max="5634" width="12.85546875" style="1" customWidth="1"/>
    <col min="5635" max="5635" width="13.5703125" style="1" customWidth="1"/>
    <col min="5636" max="5636" width="14.140625" style="1" customWidth="1"/>
    <col min="5637" max="5637" width="12.5703125" style="1" customWidth="1"/>
    <col min="5638" max="5638" width="13.28515625" style="1" customWidth="1"/>
    <col min="5639" max="5887" width="8.85546875" style="1"/>
    <col min="5888" max="5888" width="11.85546875" style="1" customWidth="1"/>
    <col min="5889" max="5889" width="15" style="1" customWidth="1"/>
    <col min="5890" max="5890" width="12.85546875" style="1" customWidth="1"/>
    <col min="5891" max="5891" width="13.5703125" style="1" customWidth="1"/>
    <col min="5892" max="5892" width="14.140625" style="1" customWidth="1"/>
    <col min="5893" max="5893" width="12.5703125" style="1" customWidth="1"/>
    <col min="5894" max="5894" width="13.28515625" style="1" customWidth="1"/>
    <col min="5895" max="6143" width="8.85546875" style="1"/>
    <col min="6144" max="6144" width="11.85546875" style="1" customWidth="1"/>
    <col min="6145" max="6145" width="15" style="1" customWidth="1"/>
    <col min="6146" max="6146" width="12.85546875" style="1" customWidth="1"/>
    <col min="6147" max="6147" width="13.5703125" style="1" customWidth="1"/>
    <col min="6148" max="6148" width="14.140625" style="1" customWidth="1"/>
    <col min="6149" max="6149" width="12.5703125" style="1" customWidth="1"/>
    <col min="6150" max="6150" width="13.28515625" style="1" customWidth="1"/>
    <col min="6151" max="6399" width="8.85546875" style="1"/>
    <col min="6400" max="6400" width="11.85546875" style="1" customWidth="1"/>
    <col min="6401" max="6401" width="15" style="1" customWidth="1"/>
    <col min="6402" max="6402" width="12.85546875" style="1" customWidth="1"/>
    <col min="6403" max="6403" width="13.5703125" style="1" customWidth="1"/>
    <col min="6404" max="6404" width="14.140625" style="1" customWidth="1"/>
    <col min="6405" max="6405" width="12.5703125" style="1" customWidth="1"/>
    <col min="6406" max="6406" width="13.28515625" style="1" customWidth="1"/>
    <col min="6407" max="6655" width="8.85546875" style="1"/>
    <col min="6656" max="6656" width="11.85546875" style="1" customWidth="1"/>
    <col min="6657" max="6657" width="15" style="1" customWidth="1"/>
    <col min="6658" max="6658" width="12.85546875" style="1" customWidth="1"/>
    <col min="6659" max="6659" width="13.5703125" style="1" customWidth="1"/>
    <col min="6660" max="6660" width="14.140625" style="1" customWidth="1"/>
    <col min="6661" max="6661" width="12.5703125" style="1" customWidth="1"/>
    <col min="6662" max="6662" width="13.28515625" style="1" customWidth="1"/>
    <col min="6663" max="6911" width="8.85546875" style="1"/>
    <col min="6912" max="6912" width="11.85546875" style="1" customWidth="1"/>
    <col min="6913" max="6913" width="15" style="1" customWidth="1"/>
    <col min="6914" max="6914" width="12.85546875" style="1" customWidth="1"/>
    <col min="6915" max="6915" width="13.5703125" style="1" customWidth="1"/>
    <col min="6916" max="6916" width="14.140625" style="1" customWidth="1"/>
    <col min="6917" max="6917" width="12.5703125" style="1" customWidth="1"/>
    <col min="6918" max="6918" width="13.28515625" style="1" customWidth="1"/>
    <col min="6919" max="7167" width="8.85546875" style="1"/>
    <col min="7168" max="7168" width="11.85546875" style="1" customWidth="1"/>
    <col min="7169" max="7169" width="15" style="1" customWidth="1"/>
    <col min="7170" max="7170" width="12.85546875" style="1" customWidth="1"/>
    <col min="7171" max="7171" width="13.5703125" style="1" customWidth="1"/>
    <col min="7172" max="7172" width="14.140625" style="1" customWidth="1"/>
    <col min="7173" max="7173" width="12.5703125" style="1" customWidth="1"/>
    <col min="7174" max="7174" width="13.28515625" style="1" customWidth="1"/>
    <col min="7175" max="7423" width="8.85546875" style="1"/>
    <col min="7424" max="7424" width="11.85546875" style="1" customWidth="1"/>
    <col min="7425" max="7425" width="15" style="1" customWidth="1"/>
    <col min="7426" max="7426" width="12.85546875" style="1" customWidth="1"/>
    <col min="7427" max="7427" width="13.5703125" style="1" customWidth="1"/>
    <col min="7428" max="7428" width="14.140625" style="1" customWidth="1"/>
    <col min="7429" max="7429" width="12.5703125" style="1" customWidth="1"/>
    <col min="7430" max="7430" width="13.28515625" style="1" customWidth="1"/>
    <col min="7431" max="7679" width="8.85546875" style="1"/>
    <col min="7680" max="7680" width="11.85546875" style="1" customWidth="1"/>
    <col min="7681" max="7681" width="15" style="1" customWidth="1"/>
    <col min="7682" max="7682" width="12.85546875" style="1" customWidth="1"/>
    <col min="7683" max="7683" width="13.5703125" style="1" customWidth="1"/>
    <col min="7684" max="7684" width="14.140625" style="1" customWidth="1"/>
    <col min="7685" max="7685" width="12.5703125" style="1" customWidth="1"/>
    <col min="7686" max="7686" width="13.28515625" style="1" customWidth="1"/>
    <col min="7687" max="7935" width="8.85546875" style="1"/>
    <col min="7936" max="7936" width="11.85546875" style="1" customWidth="1"/>
    <col min="7937" max="7937" width="15" style="1" customWidth="1"/>
    <col min="7938" max="7938" width="12.85546875" style="1" customWidth="1"/>
    <col min="7939" max="7939" width="13.5703125" style="1" customWidth="1"/>
    <col min="7940" max="7940" width="14.140625" style="1" customWidth="1"/>
    <col min="7941" max="7941" width="12.5703125" style="1" customWidth="1"/>
    <col min="7942" max="7942" width="13.28515625" style="1" customWidth="1"/>
    <col min="7943" max="8191" width="8.85546875" style="1"/>
    <col min="8192" max="8192" width="11.85546875" style="1" customWidth="1"/>
    <col min="8193" max="8193" width="15" style="1" customWidth="1"/>
    <col min="8194" max="8194" width="12.85546875" style="1" customWidth="1"/>
    <col min="8195" max="8195" width="13.5703125" style="1" customWidth="1"/>
    <col min="8196" max="8196" width="14.140625" style="1" customWidth="1"/>
    <col min="8197" max="8197" width="12.5703125" style="1" customWidth="1"/>
    <col min="8198" max="8198" width="13.28515625" style="1" customWidth="1"/>
    <col min="8199" max="8447" width="8.85546875" style="1"/>
    <col min="8448" max="8448" width="11.85546875" style="1" customWidth="1"/>
    <col min="8449" max="8449" width="15" style="1" customWidth="1"/>
    <col min="8450" max="8450" width="12.85546875" style="1" customWidth="1"/>
    <col min="8451" max="8451" width="13.5703125" style="1" customWidth="1"/>
    <col min="8452" max="8452" width="14.140625" style="1" customWidth="1"/>
    <col min="8453" max="8453" width="12.5703125" style="1" customWidth="1"/>
    <col min="8454" max="8454" width="13.28515625" style="1" customWidth="1"/>
    <col min="8455" max="8703" width="8.85546875" style="1"/>
    <col min="8704" max="8704" width="11.85546875" style="1" customWidth="1"/>
    <col min="8705" max="8705" width="15" style="1" customWidth="1"/>
    <col min="8706" max="8706" width="12.85546875" style="1" customWidth="1"/>
    <col min="8707" max="8707" width="13.5703125" style="1" customWidth="1"/>
    <col min="8708" max="8708" width="14.140625" style="1" customWidth="1"/>
    <col min="8709" max="8709" width="12.5703125" style="1" customWidth="1"/>
    <col min="8710" max="8710" width="13.28515625" style="1" customWidth="1"/>
    <col min="8711" max="8959" width="8.85546875" style="1"/>
    <col min="8960" max="8960" width="11.85546875" style="1" customWidth="1"/>
    <col min="8961" max="8961" width="15" style="1" customWidth="1"/>
    <col min="8962" max="8962" width="12.85546875" style="1" customWidth="1"/>
    <col min="8963" max="8963" width="13.5703125" style="1" customWidth="1"/>
    <col min="8964" max="8964" width="14.140625" style="1" customWidth="1"/>
    <col min="8965" max="8965" width="12.5703125" style="1" customWidth="1"/>
    <col min="8966" max="8966" width="13.28515625" style="1" customWidth="1"/>
    <col min="8967" max="9215" width="8.85546875" style="1"/>
    <col min="9216" max="9216" width="11.85546875" style="1" customWidth="1"/>
    <col min="9217" max="9217" width="15" style="1" customWidth="1"/>
    <col min="9218" max="9218" width="12.85546875" style="1" customWidth="1"/>
    <col min="9219" max="9219" width="13.5703125" style="1" customWidth="1"/>
    <col min="9220" max="9220" width="14.140625" style="1" customWidth="1"/>
    <col min="9221" max="9221" width="12.5703125" style="1" customWidth="1"/>
    <col min="9222" max="9222" width="13.28515625" style="1" customWidth="1"/>
    <col min="9223" max="9471" width="8.85546875" style="1"/>
    <col min="9472" max="9472" width="11.85546875" style="1" customWidth="1"/>
    <col min="9473" max="9473" width="15" style="1" customWidth="1"/>
    <col min="9474" max="9474" width="12.85546875" style="1" customWidth="1"/>
    <col min="9475" max="9475" width="13.5703125" style="1" customWidth="1"/>
    <col min="9476" max="9476" width="14.140625" style="1" customWidth="1"/>
    <col min="9477" max="9477" width="12.5703125" style="1" customWidth="1"/>
    <col min="9478" max="9478" width="13.28515625" style="1" customWidth="1"/>
    <col min="9479" max="9727" width="8.85546875" style="1"/>
    <col min="9728" max="9728" width="11.85546875" style="1" customWidth="1"/>
    <col min="9729" max="9729" width="15" style="1" customWidth="1"/>
    <col min="9730" max="9730" width="12.85546875" style="1" customWidth="1"/>
    <col min="9731" max="9731" width="13.5703125" style="1" customWidth="1"/>
    <col min="9732" max="9732" width="14.140625" style="1" customWidth="1"/>
    <col min="9733" max="9733" width="12.5703125" style="1" customWidth="1"/>
    <col min="9734" max="9734" width="13.28515625" style="1" customWidth="1"/>
    <col min="9735" max="9983" width="8.85546875" style="1"/>
    <col min="9984" max="9984" width="11.85546875" style="1" customWidth="1"/>
    <col min="9985" max="9985" width="15" style="1" customWidth="1"/>
    <col min="9986" max="9986" width="12.85546875" style="1" customWidth="1"/>
    <col min="9987" max="9987" width="13.5703125" style="1" customWidth="1"/>
    <col min="9988" max="9988" width="14.140625" style="1" customWidth="1"/>
    <col min="9989" max="9989" width="12.5703125" style="1" customWidth="1"/>
    <col min="9990" max="9990" width="13.28515625" style="1" customWidth="1"/>
    <col min="9991" max="10239" width="8.85546875" style="1"/>
    <col min="10240" max="10240" width="11.85546875" style="1" customWidth="1"/>
    <col min="10241" max="10241" width="15" style="1" customWidth="1"/>
    <col min="10242" max="10242" width="12.85546875" style="1" customWidth="1"/>
    <col min="10243" max="10243" width="13.5703125" style="1" customWidth="1"/>
    <col min="10244" max="10244" width="14.140625" style="1" customWidth="1"/>
    <col min="10245" max="10245" width="12.5703125" style="1" customWidth="1"/>
    <col min="10246" max="10246" width="13.28515625" style="1" customWidth="1"/>
    <col min="10247" max="10495" width="8.85546875" style="1"/>
    <col min="10496" max="10496" width="11.85546875" style="1" customWidth="1"/>
    <col min="10497" max="10497" width="15" style="1" customWidth="1"/>
    <col min="10498" max="10498" width="12.85546875" style="1" customWidth="1"/>
    <col min="10499" max="10499" width="13.5703125" style="1" customWidth="1"/>
    <col min="10500" max="10500" width="14.140625" style="1" customWidth="1"/>
    <col min="10501" max="10501" width="12.5703125" style="1" customWidth="1"/>
    <col min="10502" max="10502" width="13.28515625" style="1" customWidth="1"/>
    <col min="10503" max="10751" width="8.85546875" style="1"/>
    <col min="10752" max="10752" width="11.85546875" style="1" customWidth="1"/>
    <col min="10753" max="10753" width="15" style="1" customWidth="1"/>
    <col min="10754" max="10754" width="12.85546875" style="1" customWidth="1"/>
    <col min="10755" max="10755" width="13.5703125" style="1" customWidth="1"/>
    <col min="10756" max="10756" width="14.140625" style="1" customWidth="1"/>
    <col min="10757" max="10757" width="12.5703125" style="1" customWidth="1"/>
    <col min="10758" max="10758" width="13.28515625" style="1" customWidth="1"/>
    <col min="10759" max="11007" width="8.85546875" style="1"/>
    <col min="11008" max="11008" width="11.85546875" style="1" customWidth="1"/>
    <col min="11009" max="11009" width="15" style="1" customWidth="1"/>
    <col min="11010" max="11010" width="12.85546875" style="1" customWidth="1"/>
    <col min="11011" max="11011" width="13.5703125" style="1" customWidth="1"/>
    <col min="11012" max="11012" width="14.140625" style="1" customWidth="1"/>
    <col min="11013" max="11013" width="12.5703125" style="1" customWidth="1"/>
    <col min="11014" max="11014" width="13.28515625" style="1" customWidth="1"/>
    <col min="11015" max="11263" width="8.85546875" style="1"/>
    <col min="11264" max="11264" width="11.85546875" style="1" customWidth="1"/>
    <col min="11265" max="11265" width="15" style="1" customWidth="1"/>
    <col min="11266" max="11266" width="12.85546875" style="1" customWidth="1"/>
    <col min="11267" max="11267" width="13.5703125" style="1" customWidth="1"/>
    <col min="11268" max="11268" width="14.140625" style="1" customWidth="1"/>
    <col min="11269" max="11269" width="12.5703125" style="1" customWidth="1"/>
    <col min="11270" max="11270" width="13.28515625" style="1" customWidth="1"/>
    <col min="11271" max="11519" width="8.85546875" style="1"/>
    <col min="11520" max="11520" width="11.85546875" style="1" customWidth="1"/>
    <col min="11521" max="11521" width="15" style="1" customWidth="1"/>
    <col min="11522" max="11522" width="12.85546875" style="1" customWidth="1"/>
    <col min="11523" max="11523" width="13.5703125" style="1" customWidth="1"/>
    <col min="11524" max="11524" width="14.140625" style="1" customWidth="1"/>
    <col min="11525" max="11525" width="12.5703125" style="1" customWidth="1"/>
    <col min="11526" max="11526" width="13.28515625" style="1" customWidth="1"/>
    <col min="11527" max="11775" width="8.85546875" style="1"/>
    <col min="11776" max="11776" width="11.85546875" style="1" customWidth="1"/>
    <col min="11777" max="11777" width="15" style="1" customWidth="1"/>
    <col min="11778" max="11778" width="12.85546875" style="1" customWidth="1"/>
    <col min="11779" max="11779" width="13.5703125" style="1" customWidth="1"/>
    <col min="11780" max="11780" width="14.140625" style="1" customWidth="1"/>
    <col min="11781" max="11781" width="12.5703125" style="1" customWidth="1"/>
    <col min="11782" max="11782" width="13.28515625" style="1" customWidth="1"/>
    <col min="11783" max="12031" width="8.85546875" style="1"/>
    <col min="12032" max="12032" width="11.85546875" style="1" customWidth="1"/>
    <col min="12033" max="12033" width="15" style="1" customWidth="1"/>
    <col min="12034" max="12034" width="12.85546875" style="1" customWidth="1"/>
    <col min="12035" max="12035" width="13.5703125" style="1" customWidth="1"/>
    <col min="12036" max="12036" width="14.140625" style="1" customWidth="1"/>
    <col min="12037" max="12037" width="12.5703125" style="1" customWidth="1"/>
    <col min="12038" max="12038" width="13.28515625" style="1" customWidth="1"/>
    <col min="12039" max="12287" width="8.85546875" style="1"/>
    <col min="12288" max="12288" width="11.85546875" style="1" customWidth="1"/>
    <col min="12289" max="12289" width="15" style="1" customWidth="1"/>
    <col min="12290" max="12290" width="12.85546875" style="1" customWidth="1"/>
    <col min="12291" max="12291" width="13.5703125" style="1" customWidth="1"/>
    <col min="12292" max="12292" width="14.140625" style="1" customWidth="1"/>
    <col min="12293" max="12293" width="12.5703125" style="1" customWidth="1"/>
    <col min="12294" max="12294" width="13.28515625" style="1" customWidth="1"/>
    <col min="12295" max="12543" width="8.85546875" style="1"/>
    <col min="12544" max="12544" width="11.85546875" style="1" customWidth="1"/>
    <col min="12545" max="12545" width="15" style="1" customWidth="1"/>
    <col min="12546" max="12546" width="12.85546875" style="1" customWidth="1"/>
    <col min="12547" max="12547" width="13.5703125" style="1" customWidth="1"/>
    <col min="12548" max="12548" width="14.140625" style="1" customWidth="1"/>
    <col min="12549" max="12549" width="12.5703125" style="1" customWidth="1"/>
    <col min="12550" max="12550" width="13.28515625" style="1" customWidth="1"/>
    <col min="12551" max="12799" width="8.85546875" style="1"/>
    <col min="12800" max="12800" width="11.85546875" style="1" customWidth="1"/>
    <col min="12801" max="12801" width="15" style="1" customWidth="1"/>
    <col min="12802" max="12802" width="12.85546875" style="1" customWidth="1"/>
    <col min="12803" max="12803" width="13.5703125" style="1" customWidth="1"/>
    <col min="12804" max="12804" width="14.140625" style="1" customWidth="1"/>
    <col min="12805" max="12805" width="12.5703125" style="1" customWidth="1"/>
    <col min="12806" max="12806" width="13.28515625" style="1" customWidth="1"/>
    <col min="12807" max="13055" width="8.85546875" style="1"/>
    <col min="13056" max="13056" width="11.85546875" style="1" customWidth="1"/>
    <col min="13057" max="13057" width="15" style="1" customWidth="1"/>
    <col min="13058" max="13058" width="12.85546875" style="1" customWidth="1"/>
    <col min="13059" max="13059" width="13.5703125" style="1" customWidth="1"/>
    <col min="13060" max="13060" width="14.140625" style="1" customWidth="1"/>
    <col min="13061" max="13061" width="12.5703125" style="1" customWidth="1"/>
    <col min="13062" max="13062" width="13.28515625" style="1" customWidth="1"/>
    <col min="13063" max="13311" width="8.85546875" style="1"/>
    <col min="13312" max="13312" width="11.85546875" style="1" customWidth="1"/>
    <col min="13313" max="13313" width="15" style="1" customWidth="1"/>
    <col min="13314" max="13314" width="12.85546875" style="1" customWidth="1"/>
    <col min="13315" max="13315" width="13.5703125" style="1" customWidth="1"/>
    <col min="13316" max="13316" width="14.140625" style="1" customWidth="1"/>
    <col min="13317" max="13317" width="12.5703125" style="1" customWidth="1"/>
    <col min="13318" max="13318" width="13.28515625" style="1" customWidth="1"/>
    <col min="13319" max="13567" width="8.85546875" style="1"/>
    <col min="13568" max="13568" width="11.85546875" style="1" customWidth="1"/>
    <col min="13569" max="13569" width="15" style="1" customWidth="1"/>
    <col min="13570" max="13570" width="12.85546875" style="1" customWidth="1"/>
    <col min="13571" max="13571" width="13.5703125" style="1" customWidth="1"/>
    <col min="13572" max="13572" width="14.140625" style="1" customWidth="1"/>
    <col min="13573" max="13573" width="12.5703125" style="1" customWidth="1"/>
    <col min="13574" max="13574" width="13.28515625" style="1" customWidth="1"/>
    <col min="13575" max="13823" width="8.85546875" style="1"/>
    <col min="13824" max="13824" width="11.85546875" style="1" customWidth="1"/>
    <col min="13825" max="13825" width="15" style="1" customWidth="1"/>
    <col min="13826" max="13826" width="12.85546875" style="1" customWidth="1"/>
    <col min="13827" max="13827" width="13.5703125" style="1" customWidth="1"/>
    <col min="13828" max="13828" width="14.140625" style="1" customWidth="1"/>
    <col min="13829" max="13829" width="12.5703125" style="1" customWidth="1"/>
    <col min="13830" max="13830" width="13.28515625" style="1" customWidth="1"/>
    <col min="13831" max="14079" width="8.85546875" style="1"/>
    <col min="14080" max="14080" width="11.85546875" style="1" customWidth="1"/>
    <col min="14081" max="14081" width="15" style="1" customWidth="1"/>
    <col min="14082" max="14082" width="12.85546875" style="1" customWidth="1"/>
    <col min="14083" max="14083" width="13.5703125" style="1" customWidth="1"/>
    <col min="14084" max="14084" width="14.140625" style="1" customWidth="1"/>
    <col min="14085" max="14085" width="12.5703125" style="1" customWidth="1"/>
    <col min="14086" max="14086" width="13.28515625" style="1" customWidth="1"/>
    <col min="14087" max="14335" width="8.85546875" style="1"/>
    <col min="14336" max="14336" width="11.85546875" style="1" customWidth="1"/>
    <col min="14337" max="14337" width="15" style="1" customWidth="1"/>
    <col min="14338" max="14338" width="12.85546875" style="1" customWidth="1"/>
    <col min="14339" max="14339" width="13.5703125" style="1" customWidth="1"/>
    <col min="14340" max="14340" width="14.140625" style="1" customWidth="1"/>
    <col min="14341" max="14341" width="12.5703125" style="1" customWidth="1"/>
    <col min="14342" max="14342" width="13.28515625" style="1" customWidth="1"/>
    <col min="14343" max="14591" width="8.85546875" style="1"/>
    <col min="14592" max="14592" width="11.85546875" style="1" customWidth="1"/>
    <col min="14593" max="14593" width="15" style="1" customWidth="1"/>
    <col min="14594" max="14594" width="12.85546875" style="1" customWidth="1"/>
    <col min="14595" max="14595" width="13.5703125" style="1" customWidth="1"/>
    <col min="14596" max="14596" width="14.140625" style="1" customWidth="1"/>
    <col min="14597" max="14597" width="12.5703125" style="1" customWidth="1"/>
    <col min="14598" max="14598" width="13.28515625" style="1" customWidth="1"/>
    <col min="14599" max="14847" width="8.85546875" style="1"/>
    <col min="14848" max="14848" width="11.85546875" style="1" customWidth="1"/>
    <col min="14849" max="14849" width="15" style="1" customWidth="1"/>
    <col min="14850" max="14850" width="12.85546875" style="1" customWidth="1"/>
    <col min="14851" max="14851" width="13.5703125" style="1" customWidth="1"/>
    <col min="14852" max="14852" width="14.140625" style="1" customWidth="1"/>
    <col min="14853" max="14853" width="12.5703125" style="1" customWidth="1"/>
    <col min="14854" max="14854" width="13.28515625" style="1" customWidth="1"/>
    <col min="14855" max="15103" width="8.85546875" style="1"/>
    <col min="15104" max="15104" width="11.85546875" style="1" customWidth="1"/>
    <col min="15105" max="15105" width="15" style="1" customWidth="1"/>
    <col min="15106" max="15106" width="12.85546875" style="1" customWidth="1"/>
    <col min="15107" max="15107" width="13.5703125" style="1" customWidth="1"/>
    <col min="15108" max="15108" width="14.140625" style="1" customWidth="1"/>
    <col min="15109" max="15109" width="12.5703125" style="1" customWidth="1"/>
    <col min="15110" max="15110" width="13.28515625" style="1" customWidth="1"/>
    <col min="15111" max="15359" width="8.85546875" style="1"/>
    <col min="15360" max="15360" width="11.85546875" style="1" customWidth="1"/>
    <col min="15361" max="15361" width="15" style="1" customWidth="1"/>
    <col min="15362" max="15362" width="12.85546875" style="1" customWidth="1"/>
    <col min="15363" max="15363" width="13.5703125" style="1" customWidth="1"/>
    <col min="15364" max="15364" width="14.140625" style="1" customWidth="1"/>
    <col min="15365" max="15365" width="12.5703125" style="1" customWidth="1"/>
    <col min="15366" max="15366" width="13.28515625" style="1" customWidth="1"/>
    <col min="15367" max="15615" width="8.85546875" style="1"/>
    <col min="15616" max="15616" width="11.85546875" style="1" customWidth="1"/>
    <col min="15617" max="15617" width="15" style="1" customWidth="1"/>
    <col min="15618" max="15618" width="12.85546875" style="1" customWidth="1"/>
    <col min="15619" max="15619" width="13.5703125" style="1" customWidth="1"/>
    <col min="15620" max="15620" width="14.140625" style="1" customWidth="1"/>
    <col min="15621" max="15621" width="12.5703125" style="1" customWidth="1"/>
    <col min="15622" max="15622" width="13.28515625" style="1" customWidth="1"/>
    <col min="15623" max="15871" width="8.85546875" style="1"/>
    <col min="15872" max="15872" width="11.85546875" style="1" customWidth="1"/>
    <col min="15873" max="15873" width="15" style="1" customWidth="1"/>
    <col min="15874" max="15874" width="12.85546875" style="1" customWidth="1"/>
    <col min="15875" max="15875" width="13.5703125" style="1" customWidth="1"/>
    <col min="15876" max="15876" width="14.140625" style="1" customWidth="1"/>
    <col min="15877" max="15877" width="12.5703125" style="1" customWidth="1"/>
    <col min="15878" max="15878" width="13.28515625" style="1" customWidth="1"/>
    <col min="15879" max="16127" width="8.85546875" style="1"/>
    <col min="16128" max="16128" width="11.85546875" style="1" customWidth="1"/>
    <col min="16129" max="16129" width="15" style="1" customWidth="1"/>
    <col min="16130" max="16130" width="12.85546875" style="1" customWidth="1"/>
    <col min="16131" max="16131" width="13.5703125" style="1" customWidth="1"/>
    <col min="16132" max="16132" width="14.140625" style="1" customWidth="1"/>
    <col min="16133" max="16133" width="12.5703125" style="1" customWidth="1"/>
    <col min="16134" max="16134" width="13.28515625" style="1" customWidth="1"/>
    <col min="16135" max="16384" width="8.85546875" style="1"/>
  </cols>
  <sheetData>
    <row r="1" spans="1:54" ht="60" customHeight="1" x14ac:dyDescent="0.2">
      <c r="B1" s="13"/>
      <c r="C1" s="13" t="s">
        <v>151</v>
      </c>
    </row>
    <row r="3" spans="1:54" ht="20.100000000000001" customHeight="1" thickBot="1" x14ac:dyDescent="0.35">
      <c r="A3" s="12" t="s">
        <v>2</v>
      </c>
      <c r="B3" s="3"/>
      <c r="C3" s="3"/>
      <c r="D3" s="3"/>
    </row>
    <row r="4" spans="1:54" ht="20.100000000000001" customHeight="1" thickTop="1" thickBot="1" x14ac:dyDescent="0.25">
      <c r="A4" s="51" t="s">
        <v>146</v>
      </c>
      <c r="B4" s="76" t="s">
        <v>45</v>
      </c>
      <c r="C4" s="76" t="s">
        <v>51</v>
      </c>
      <c r="D4" s="99" t="s">
        <v>4</v>
      </c>
      <c r="E4" s="99" t="s">
        <v>47</v>
      </c>
      <c r="F4" s="99" t="s">
        <v>46</v>
      </c>
      <c r="G4" s="76" t="s">
        <v>51</v>
      </c>
      <c r="H4" s="100" t="s">
        <v>52</v>
      </c>
      <c r="I4" s="100" t="s">
        <v>135</v>
      </c>
      <c r="J4" s="100" t="s">
        <v>74</v>
      </c>
      <c r="K4" s="100" t="s">
        <v>53</v>
      </c>
      <c r="L4" s="101" t="s">
        <v>77</v>
      </c>
      <c r="M4" s="77" t="s">
        <v>48</v>
      </c>
      <c r="N4" s="30" t="s">
        <v>50</v>
      </c>
      <c r="O4" s="17" t="s">
        <v>49</v>
      </c>
      <c r="P4" s="65"/>
      <c r="Q4" s="60" t="s">
        <v>136</v>
      </c>
      <c r="R4" s="60" t="s">
        <v>63</v>
      </c>
      <c r="S4" s="56" t="s">
        <v>58</v>
      </c>
      <c r="T4" s="60" t="s">
        <v>62</v>
      </c>
      <c r="U4" s="60" t="s">
        <v>74</v>
      </c>
      <c r="V4" s="60" t="s">
        <v>133</v>
      </c>
      <c r="W4" s="60" t="s">
        <v>77</v>
      </c>
      <c r="X4" s="60" t="s">
        <v>81</v>
      </c>
      <c r="Y4" s="60" t="s">
        <v>99</v>
      </c>
      <c r="Z4" s="60" t="s">
        <v>100</v>
      </c>
      <c r="AA4" s="60" t="s">
        <v>106</v>
      </c>
      <c r="AB4" s="60" t="s">
        <v>96</v>
      </c>
      <c r="AC4" s="60" t="s">
        <v>97</v>
      </c>
      <c r="AD4" s="60" t="s">
        <v>98</v>
      </c>
      <c r="AE4" s="60" t="s">
        <v>101</v>
      </c>
      <c r="AF4" s="60" t="s">
        <v>102</v>
      </c>
      <c r="AG4" s="60" t="s">
        <v>103</v>
      </c>
      <c r="AH4" s="60" t="s">
        <v>107</v>
      </c>
      <c r="AI4" s="60" t="s">
        <v>104</v>
      </c>
      <c r="AJ4" s="60" t="s">
        <v>105</v>
      </c>
      <c r="AK4" s="60" t="s">
        <v>108</v>
      </c>
      <c r="AL4" s="60" t="s">
        <v>109</v>
      </c>
      <c r="AM4" s="60" t="s">
        <v>120</v>
      </c>
      <c r="AN4" s="60" t="s">
        <v>110</v>
      </c>
      <c r="AO4" s="60" t="s">
        <v>111</v>
      </c>
      <c r="AP4" s="60" t="s">
        <v>112</v>
      </c>
      <c r="AQ4" s="60" t="s">
        <v>113</v>
      </c>
      <c r="AR4" s="60" t="s">
        <v>114</v>
      </c>
      <c r="AS4" s="60" t="s">
        <v>115</v>
      </c>
      <c r="AT4" s="60" t="s">
        <v>116</v>
      </c>
      <c r="AU4" s="60" t="s">
        <v>117</v>
      </c>
      <c r="AV4" s="60" t="s">
        <v>118</v>
      </c>
      <c r="AW4" s="60" t="s">
        <v>119</v>
      </c>
      <c r="AX4" s="60" t="s">
        <v>121</v>
      </c>
      <c r="AY4" s="60" t="s">
        <v>122</v>
      </c>
      <c r="AZ4" s="60" t="s">
        <v>123</v>
      </c>
      <c r="BA4" s="60" t="s">
        <v>124</v>
      </c>
      <c r="BB4" s="60" t="s">
        <v>53</v>
      </c>
    </row>
    <row r="5" spans="1:54" ht="20.100000000000001" customHeight="1" thickTop="1" x14ac:dyDescent="0.2">
      <c r="A5" s="121">
        <v>1</v>
      </c>
      <c r="B5" s="40">
        <v>44926.5</v>
      </c>
      <c r="C5" s="41">
        <v>9</v>
      </c>
      <c r="D5" s="116">
        <v>11.291954022988506</v>
      </c>
      <c r="E5" s="42">
        <v>2456</v>
      </c>
      <c r="F5" s="124">
        <f t="shared" ref="F5:F24" si="0">IF(OR(B5="",D5=""),"",(B5-C5/24)+(M5+G5/24))</f>
        <v>44935.520833333336</v>
      </c>
      <c r="G5" s="41">
        <v>8</v>
      </c>
      <c r="H5" s="42" t="s">
        <v>134</v>
      </c>
      <c r="I5" s="42" t="s">
        <v>6</v>
      </c>
      <c r="J5" s="42" t="s">
        <v>75</v>
      </c>
      <c r="K5" s="42" t="s">
        <v>76</v>
      </c>
      <c r="L5" s="79" t="s">
        <v>78</v>
      </c>
      <c r="M5" s="88">
        <f>N5/24</f>
        <v>9.0625</v>
      </c>
      <c r="N5" s="89">
        <f t="shared" ref="N5:N24" si="1">IF(OR(B5="",D5="",D5=0),0,E5/D5)</f>
        <v>217.5</v>
      </c>
      <c r="O5" s="90">
        <f t="shared" ref="O5:O24" si="2">IF(N5=0,0,E5/N5)</f>
        <v>11.291954022988506</v>
      </c>
      <c r="P5" s="91"/>
      <c r="Q5" s="57" t="s">
        <v>137</v>
      </c>
      <c r="R5" s="57">
        <f t="shared" ref="R5:R24" si="3">IF(I5=$Q$5,1,IF(I5=$Q$6,2,3))</f>
        <v>2</v>
      </c>
      <c r="T5" s="57">
        <f t="shared" ref="T5:T24" si="4">IF(H5=S$5,1,IF(H5=S$6,2,IF(H5=S$7,3,IF(H5=S$8,4,IF(H5=S$9,5,IF(H5=S$10,6,IF(H5=S$11,7,IF(H5=S$12,8,9))))))))</f>
        <v>2</v>
      </c>
      <c r="U5" s="57" t="s">
        <v>75</v>
      </c>
      <c r="V5" s="57">
        <f t="shared" ref="V5:V24" si="5">IF(J5=$U$5,1,IF(J5=$U$6,2,3))</f>
        <v>1</v>
      </c>
      <c r="W5" s="57" t="s">
        <v>78</v>
      </c>
      <c r="X5" s="57">
        <f t="shared" ref="X5:X24" si="6">IF(L5=$W$5,1,IF(L5=$W$6,2,IF(L5=$W$7,3,4)))</f>
        <v>1</v>
      </c>
      <c r="Y5" s="57">
        <f>IF(AND(Table14[[#This Row],[Column1]]=2,Table14[[#This Row],[Column3]]=1,Table14[[#This Row],[Column2]]=1),2,0)</f>
        <v>0</v>
      </c>
      <c r="Z5" s="57">
        <f>IF(AND(Table14[[#This Row],[Column1]]=2,Table14[[#This Row],[Column3]]=2,Table14[[#This Row],[Column2]]=1),3,0)</f>
        <v>0</v>
      </c>
      <c r="AA5" s="57">
        <f>IF(AND(Table14[[#This Row],[Column1]]=2,Table14[[#This Row],[Column3]]=3,Table14[[#This Row],[Column2]]=1),4,0)</f>
        <v>0</v>
      </c>
      <c r="AB5" s="57">
        <f>IF(AND(Table14[[#This Row],[Column1]]=2,Table14[[#This Row],[Column3]]=1,Table14[[#This Row],[Column2]]=2),5,0)</f>
        <v>5</v>
      </c>
      <c r="AC5" s="57">
        <f>IF(AND(Table14[[#This Row],[Column1]]=2,Table14[[#This Row],[Column3]]=2,Table14[[#This Row],[Column2]]=2),6,0)</f>
        <v>0</v>
      </c>
      <c r="AD5" s="57">
        <f>IF(AND(Table14[[#This Row],[Column1]]=2,Table14[[#This Row],[Column3]]=3,Table14[[#This Row],[Column2]]=2),7,0)</f>
        <v>0</v>
      </c>
      <c r="AE5" s="57">
        <f>IF(AND(Table14[[#This Row],[Column1]]=3,Table14[[#This Row],[Column3]]=1),8,0)</f>
        <v>0</v>
      </c>
      <c r="AF5" s="57">
        <f>IF(AND(Table14[[#This Row],[Column1]]=3,Table14[[#This Row],[Column3]]=2),9,0)</f>
        <v>0</v>
      </c>
      <c r="AG5" s="57">
        <f>IF(AND(Table14[[#This Row],[Column1]]=3,Table14[[#This Row],[Column3]]=3),10,0)</f>
        <v>0</v>
      </c>
      <c r="AH5" s="57">
        <f>IF(AND(Table14[[#This Row],[Column1]]=4,Table14[[#This Row],[Column3]]=1),11,0)</f>
        <v>0</v>
      </c>
      <c r="AI5" s="57">
        <f>IF(AND(Table14[[#This Row],[Column1]]=4,Table14[[#This Row],[Column3]]=2),12,0)</f>
        <v>0</v>
      </c>
      <c r="AJ5" s="57">
        <f>IF(AND(Table14[[#This Row],[Column1]]=4,Table14[[#This Row],[Column3]]=3),13,0)</f>
        <v>0</v>
      </c>
      <c r="AK5" s="57">
        <f>IF(AND(Table14[[#This Row],[Column1]]=5,Table14[[#This Row],[Column3]]=1),14,0)</f>
        <v>0</v>
      </c>
      <c r="AL5" s="57">
        <f>IF(AND(Table14[[#This Row],[Column1]]=5,Table14[[#This Row],[Column3]]=2),15,0)</f>
        <v>0</v>
      </c>
      <c r="AM5" s="57">
        <f>IF(AND(Table14[[#This Row],[Column1]]=5,Table14[[#This Row],[Column3]]=3),16,0)</f>
        <v>0</v>
      </c>
      <c r="AN5" s="57">
        <f>IF(AND(Table14[[#This Row],[Column1]]=6,Table14[[#This Row],[Column3]]=1),17,0)</f>
        <v>0</v>
      </c>
      <c r="AO5" s="57">
        <f>IF(AND(Table14[[#This Row],[Column1]]=6,Table14[[#This Row],[Column3]]=2),18,0)</f>
        <v>0</v>
      </c>
      <c r="AP5" s="57">
        <f>IF(AND(Table14[[#This Row],[Column1]]=6,Table14[[#This Row],[Column3]]=3),19,0)</f>
        <v>0</v>
      </c>
      <c r="AQ5" s="57">
        <f>IF(AND(Table14[[#This Row],[Column1]]=7,Table14[[#This Row],[Column3]]=1),20,0)</f>
        <v>0</v>
      </c>
      <c r="AR5" s="57">
        <f>IF(AND(Table14[[#This Row],[Column1]]=7,Table14[[#This Row],[Column3]]=2),21,0)</f>
        <v>0</v>
      </c>
      <c r="AS5" s="57">
        <f>IF(AND(Table14[[#This Row],[Column1]]=7,Table14[[#This Row],[Column3]]=3),22,0)</f>
        <v>0</v>
      </c>
      <c r="AT5" s="57">
        <f>IF(AND(Table14[[#This Row],[Column1]]=8,Table14[[#This Row],[Column3]]=1),23,0)</f>
        <v>0</v>
      </c>
      <c r="AU5" s="57">
        <f>IF(AND(Table14[[#This Row],[Column1]]=8,Table14[[#This Row],[Column3]]=2),24,0)</f>
        <v>0</v>
      </c>
      <c r="AV5" s="57">
        <f>IF(AND(Table14[[#This Row],[Column1]]=8,Table14[[#This Row],[Column3]]=3),25,0)</f>
        <v>0</v>
      </c>
      <c r="AW5" s="57">
        <f>SUM(Table14[[#This Row],[Laden LNG]:[Idle HFO]])</f>
        <v>5</v>
      </c>
      <c r="AX5" s="57">
        <f>IF(AND(Table14[[#This Row],[Reliq]]=1,Table14[[#This Row],[Column3]]=1),26,0)</f>
        <v>26</v>
      </c>
      <c r="AY5" s="57">
        <f>IF(AND(Table14[[#This Row],[Reliq]]=1,Table14[[#This Row],[Column3]]=2),27,0)</f>
        <v>0</v>
      </c>
      <c r="AZ5" s="57">
        <f>IF(AND(Table14[[#This Row],[Reliq]]=1,Table14[[#This Row],[Column3]]=3),28,0)</f>
        <v>0</v>
      </c>
      <c r="BA5" s="57">
        <f>SUM(Table14[[#This Row],[Cooling LNG]:[Cooling HFO]])</f>
        <v>26</v>
      </c>
      <c r="BB5" s="57">
        <f t="shared" ref="BB5:BB24" si="7">IF(K5=$U$5,1,IF(K5=$U$6,2,3))</f>
        <v>2</v>
      </c>
    </row>
    <row r="6" spans="1:54" ht="20.100000000000001" customHeight="1" x14ac:dyDescent="0.2">
      <c r="A6" s="122">
        <v>2</v>
      </c>
      <c r="B6" s="103">
        <f t="shared" ref="B6:B24" si="8">IF(OR(B5="",D5=""),"",F5)</f>
        <v>44935.520833333336</v>
      </c>
      <c r="C6" s="104">
        <f t="shared" ref="C6:C24" si="9">IF(G5="","",G5)</f>
        <v>8</v>
      </c>
      <c r="D6" s="117">
        <v>12.000000000279396</v>
      </c>
      <c r="E6" s="45">
        <v>30</v>
      </c>
      <c r="F6" s="125">
        <f t="shared" si="0"/>
        <v>44935.625</v>
      </c>
      <c r="G6" s="44">
        <v>8</v>
      </c>
      <c r="H6" s="45" t="s">
        <v>60</v>
      </c>
      <c r="I6" s="55" t="s">
        <v>6</v>
      </c>
      <c r="J6" s="55" t="s">
        <v>75</v>
      </c>
      <c r="K6" s="55" t="s">
        <v>76</v>
      </c>
      <c r="L6" s="80" t="s">
        <v>79</v>
      </c>
      <c r="M6" s="92">
        <f t="shared" ref="M6:M24" si="10">N6/24</f>
        <v>0.10416666666424135</v>
      </c>
      <c r="N6" s="93">
        <f t="shared" si="1"/>
        <v>2.4999999999417923</v>
      </c>
      <c r="O6" s="94">
        <f t="shared" si="2"/>
        <v>12.000000000279396</v>
      </c>
      <c r="P6" s="91"/>
      <c r="Q6" s="57" t="s">
        <v>6</v>
      </c>
      <c r="R6" s="57">
        <f t="shared" si="3"/>
        <v>2</v>
      </c>
      <c r="S6" s="1" t="s">
        <v>134</v>
      </c>
      <c r="T6" s="57">
        <f t="shared" si="4"/>
        <v>9</v>
      </c>
      <c r="U6" s="57" t="s">
        <v>76</v>
      </c>
      <c r="V6" s="57">
        <f t="shared" si="5"/>
        <v>1</v>
      </c>
      <c r="W6" s="57" t="s">
        <v>79</v>
      </c>
      <c r="X6" s="57">
        <f t="shared" si="6"/>
        <v>2</v>
      </c>
      <c r="Y6" s="57">
        <f>IF(AND(Table14[[#This Row],[Column1]]=2,Table14[[#This Row],[Column3]]=1,Table14[[#This Row],[Column2]]=1),2,0)</f>
        <v>0</v>
      </c>
      <c r="Z6" s="57">
        <f>IF(AND(Table14[[#This Row],[Column1]]=2,Table14[[#This Row],[Column3]]=2,Table14[[#This Row],[Column2]]=1),3,0)</f>
        <v>0</v>
      </c>
      <c r="AA6" s="57">
        <f>IF(AND(Table14[[#This Row],[Column1]]=2,Table14[[#This Row],[Column3]]=3,Table14[[#This Row],[Column2]]=1),4,0)</f>
        <v>0</v>
      </c>
      <c r="AB6" s="57">
        <f>IF(AND(Table14[[#This Row],[Column1]]=2,Table14[[#This Row],[Column3]]=1,Table14[[#This Row],[Column2]]=2),5,0)</f>
        <v>0</v>
      </c>
      <c r="AC6" s="57">
        <f>IF(AND(Table14[[#This Row],[Column1]]=2,Table14[[#This Row],[Column3]]=2,Table14[[#This Row],[Column2]]=2),6,0)</f>
        <v>0</v>
      </c>
      <c r="AD6" s="57">
        <f>IF(AND(Table14[[#This Row],[Column1]]=2,Table14[[#This Row],[Column3]]=3,Table14[[#This Row],[Column2]]=2),7,0)</f>
        <v>0</v>
      </c>
      <c r="AE6" s="57">
        <f>IF(AND(Table14[[#This Row],[Column1]]=3,Table14[[#This Row],[Column3]]=1),8,0)</f>
        <v>0</v>
      </c>
      <c r="AF6" s="57">
        <f>IF(AND(Table14[[#This Row],[Column1]]=3,Table14[[#This Row],[Column3]]=2),9,0)</f>
        <v>0</v>
      </c>
      <c r="AG6" s="57">
        <f>IF(AND(Table14[[#This Row],[Column1]]=3,Table14[[#This Row],[Column3]]=3),10,0)</f>
        <v>0</v>
      </c>
      <c r="AH6" s="57">
        <f>IF(AND(Table14[[#This Row],[Column1]]=4,Table14[[#This Row],[Column3]]=1),11,0)</f>
        <v>0</v>
      </c>
      <c r="AI6" s="57">
        <f>IF(AND(Table14[[#This Row],[Column1]]=4,Table14[[#This Row],[Column3]]=2),12,0)</f>
        <v>0</v>
      </c>
      <c r="AJ6" s="57">
        <f>IF(AND(Table14[[#This Row],[Column1]]=4,Table14[[#This Row],[Column3]]=3),13,0)</f>
        <v>0</v>
      </c>
      <c r="AK6" s="57">
        <f>IF(AND(Table14[[#This Row],[Column1]]=5,Table14[[#This Row],[Column3]]=1),14,0)</f>
        <v>0</v>
      </c>
      <c r="AL6" s="57">
        <f>IF(AND(Table14[[#This Row],[Column1]]=5,Table14[[#This Row],[Column3]]=2),15,0)</f>
        <v>0</v>
      </c>
      <c r="AM6" s="57">
        <f>IF(AND(Table14[[#This Row],[Column1]]=5,Table14[[#This Row],[Column3]]=3),16,0)</f>
        <v>0</v>
      </c>
      <c r="AN6" s="57">
        <f>IF(AND(Table14[[#This Row],[Column1]]=6,Table14[[#This Row],[Column3]]=1),17,0)</f>
        <v>0</v>
      </c>
      <c r="AO6" s="57">
        <f>IF(AND(Table14[[#This Row],[Column1]]=6,Table14[[#This Row],[Column3]]=2),18,0)</f>
        <v>0</v>
      </c>
      <c r="AP6" s="57">
        <f>IF(AND(Table14[[#This Row],[Column1]]=6,Table14[[#This Row],[Column3]]=3),19,0)</f>
        <v>0</v>
      </c>
      <c r="AQ6" s="57">
        <f>IF(AND(Table14[[#This Row],[Column1]]=7,Table14[[#This Row],[Column3]]=1),20,0)</f>
        <v>0</v>
      </c>
      <c r="AR6" s="57">
        <f>IF(AND(Table14[[#This Row],[Column1]]=7,Table14[[#This Row],[Column3]]=2),21,0)</f>
        <v>0</v>
      </c>
      <c r="AS6" s="57">
        <f>IF(AND(Table14[[#This Row],[Column1]]=7,Table14[[#This Row],[Column3]]=3),22,0)</f>
        <v>0</v>
      </c>
      <c r="AT6" s="57">
        <f>IF(AND(Table14[[#This Row],[Column1]]=8,Table14[[#This Row],[Column3]]=1),23,0)</f>
        <v>0</v>
      </c>
      <c r="AU6" s="57">
        <f>IF(AND(Table14[[#This Row],[Column1]]=8,Table14[[#This Row],[Column3]]=2),24,0)</f>
        <v>0</v>
      </c>
      <c r="AV6" s="57">
        <f>IF(AND(Table14[[#This Row],[Column1]]=8,Table14[[#This Row],[Column3]]=3),25,0)</f>
        <v>0</v>
      </c>
      <c r="AW6" s="57">
        <f>SUM(Table14[[#This Row],[Laden LNG]:[Idle HFO]])</f>
        <v>0</v>
      </c>
      <c r="AX6" s="57">
        <f>IF(AND(Table14[[#This Row],[Reliq]]=1,Table14[[#This Row],[Column3]]=1),26,0)</f>
        <v>0</v>
      </c>
      <c r="AY6" s="57">
        <f>IF(AND(Table14[[#This Row],[Reliq]]=1,Table14[[#This Row],[Column3]]=2),27,0)</f>
        <v>27</v>
      </c>
      <c r="AZ6" s="57">
        <f>IF(AND(Table14[[#This Row],[Reliq]]=1,Table14[[#This Row],[Column3]]=3),28,0)</f>
        <v>0</v>
      </c>
      <c r="BA6" s="57">
        <f>SUM(Table14[[#This Row],[Cooling LNG]:[Cooling HFO]])</f>
        <v>27</v>
      </c>
      <c r="BB6" s="57">
        <f t="shared" si="7"/>
        <v>2</v>
      </c>
    </row>
    <row r="7" spans="1:54" ht="20.100000000000001" customHeight="1" x14ac:dyDescent="0.2">
      <c r="A7" s="122">
        <v>3</v>
      </c>
      <c r="B7" s="103">
        <f t="shared" si="8"/>
        <v>44935.625</v>
      </c>
      <c r="C7" s="104">
        <f t="shared" si="9"/>
        <v>8</v>
      </c>
      <c r="D7" s="117">
        <v>1</v>
      </c>
      <c r="E7" s="45">
        <v>24</v>
      </c>
      <c r="F7" s="126">
        <f t="shared" si="0"/>
        <v>44936.625</v>
      </c>
      <c r="G7" s="44">
        <v>8</v>
      </c>
      <c r="H7" s="45" t="s">
        <v>56</v>
      </c>
      <c r="I7" s="45" t="s">
        <v>137</v>
      </c>
      <c r="J7" s="45" t="s">
        <v>76</v>
      </c>
      <c r="K7" s="45" t="s">
        <v>76</v>
      </c>
      <c r="L7" s="81" t="s">
        <v>78</v>
      </c>
      <c r="M7" s="95">
        <f t="shared" si="10"/>
        <v>1</v>
      </c>
      <c r="N7" s="96">
        <f t="shared" si="1"/>
        <v>24</v>
      </c>
      <c r="O7" s="94">
        <f t="shared" si="2"/>
        <v>1</v>
      </c>
      <c r="P7" s="91"/>
      <c r="Q7" s="57"/>
      <c r="R7" s="57">
        <f t="shared" si="3"/>
        <v>1</v>
      </c>
      <c r="S7" s="1" t="s">
        <v>56</v>
      </c>
      <c r="T7" s="57">
        <f t="shared" si="4"/>
        <v>3</v>
      </c>
      <c r="U7" s="57"/>
      <c r="V7" s="57">
        <f t="shared" si="5"/>
        <v>2</v>
      </c>
      <c r="W7" s="57" t="s">
        <v>80</v>
      </c>
      <c r="X7" s="57">
        <f t="shared" si="6"/>
        <v>1</v>
      </c>
      <c r="Y7" s="57">
        <f>IF(AND(Table14[[#This Row],[Column1]]=2,Table14[[#This Row],[Column3]]=1,Table14[[#This Row],[Column2]]=1),2,0)</f>
        <v>0</v>
      </c>
      <c r="Z7" s="57">
        <f>IF(AND(Table14[[#This Row],[Column1]]=2,Table14[[#This Row],[Column3]]=2,Table14[[#This Row],[Column2]]=1),3,0)</f>
        <v>0</v>
      </c>
      <c r="AA7" s="57">
        <f>IF(AND(Table14[[#This Row],[Column1]]=2,Table14[[#This Row],[Column3]]=3,Table14[[#This Row],[Column2]]=1),4,0)</f>
        <v>0</v>
      </c>
      <c r="AB7" s="57">
        <f>IF(AND(Table14[[#This Row],[Column1]]=2,Table14[[#This Row],[Column3]]=1,Table14[[#This Row],[Column2]]=2),5,0)</f>
        <v>0</v>
      </c>
      <c r="AC7" s="57">
        <f>IF(AND(Table14[[#This Row],[Column1]]=2,Table14[[#This Row],[Column3]]=2,Table14[[#This Row],[Column2]]=2),6,0)</f>
        <v>0</v>
      </c>
      <c r="AD7" s="57">
        <f>IF(AND(Table14[[#This Row],[Column1]]=2,Table14[[#This Row],[Column3]]=3,Table14[[#This Row],[Column2]]=2),7,0)</f>
        <v>0</v>
      </c>
      <c r="AE7" s="57">
        <f>IF(AND(Table14[[#This Row],[Column1]]=3,Table14[[#This Row],[Column3]]=1),8,0)</f>
        <v>8</v>
      </c>
      <c r="AF7" s="57">
        <f>IF(AND(Table14[[#This Row],[Column1]]=3,Table14[[#This Row],[Column3]]=2),9,0)</f>
        <v>0</v>
      </c>
      <c r="AG7" s="57">
        <f>IF(AND(Table14[[#This Row],[Column1]]=3,Table14[[#This Row],[Column3]]=3),10,0)</f>
        <v>0</v>
      </c>
      <c r="AH7" s="57">
        <f>IF(AND(Table14[[#This Row],[Column1]]=4,Table14[[#This Row],[Column3]]=1),11,0)</f>
        <v>0</v>
      </c>
      <c r="AI7" s="57">
        <f>IF(AND(Table14[[#This Row],[Column1]]=4,Table14[[#This Row],[Column3]]=2),12,0)</f>
        <v>0</v>
      </c>
      <c r="AJ7" s="57">
        <f>IF(AND(Table14[[#This Row],[Column1]]=4,Table14[[#This Row],[Column3]]=3),13,0)</f>
        <v>0</v>
      </c>
      <c r="AK7" s="57">
        <f>IF(AND(Table14[[#This Row],[Column1]]=5,Table14[[#This Row],[Column3]]=1),14,0)</f>
        <v>0</v>
      </c>
      <c r="AL7" s="57">
        <f>IF(AND(Table14[[#This Row],[Column1]]=5,Table14[[#This Row],[Column3]]=2),15,0)</f>
        <v>0</v>
      </c>
      <c r="AM7" s="57">
        <f>IF(AND(Table14[[#This Row],[Column1]]=5,Table14[[#This Row],[Column3]]=3),16,0)</f>
        <v>0</v>
      </c>
      <c r="AN7" s="57">
        <f>IF(AND(Table14[[#This Row],[Column1]]=6,Table14[[#This Row],[Column3]]=1),17,0)</f>
        <v>0</v>
      </c>
      <c r="AO7" s="57">
        <f>IF(AND(Table14[[#This Row],[Column1]]=6,Table14[[#This Row],[Column3]]=2),18,0)</f>
        <v>0</v>
      </c>
      <c r="AP7" s="57">
        <f>IF(AND(Table14[[#This Row],[Column1]]=6,Table14[[#This Row],[Column3]]=3),19,0)</f>
        <v>0</v>
      </c>
      <c r="AQ7" s="57">
        <f>IF(AND(Table14[[#This Row],[Column1]]=7,Table14[[#This Row],[Column3]]=1),20,0)</f>
        <v>0</v>
      </c>
      <c r="AR7" s="57">
        <f>IF(AND(Table14[[#This Row],[Column1]]=7,Table14[[#This Row],[Column3]]=2),21,0)</f>
        <v>0</v>
      </c>
      <c r="AS7" s="57">
        <f>IF(AND(Table14[[#This Row],[Column1]]=7,Table14[[#This Row],[Column3]]=3),22,0)</f>
        <v>0</v>
      </c>
      <c r="AT7" s="57">
        <f>IF(AND(Table14[[#This Row],[Column1]]=8,Table14[[#This Row],[Column3]]=1),23,0)</f>
        <v>0</v>
      </c>
      <c r="AU7" s="57">
        <f>IF(AND(Table14[[#This Row],[Column1]]=8,Table14[[#This Row],[Column3]]=2),24,0)</f>
        <v>0</v>
      </c>
      <c r="AV7" s="57">
        <f>IF(AND(Table14[[#This Row],[Column1]]=8,Table14[[#This Row],[Column3]]=3),25,0)</f>
        <v>0</v>
      </c>
      <c r="AW7" s="57">
        <f>SUM(Table14[[#This Row],[Laden LNG]:[Idle HFO]])</f>
        <v>8</v>
      </c>
      <c r="AX7" s="57">
        <f>IF(AND(Table14[[#This Row],[Reliq]]=1,Table14[[#This Row],[Column3]]=1),26,0)</f>
        <v>0</v>
      </c>
      <c r="AY7" s="57">
        <f>IF(AND(Table14[[#This Row],[Reliq]]=1,Table14[[#This Row],[Column3]]=2),27,0)</f>
        <v>0</v>
      </c>
      <c r="AZ7" s="57">
        <f>IF(AND(Table14[[#This Row],[Reliq]]=1,Table14[[#This Row],[Column3]]=3),28,0)</f>
        <v>0</v>
      </c>
      <c r="BA7" s="57">
        <f>SUM(Table14[[#This Row],[Cooling LNG]:[Cooling HFO]])</f>
        <v>0</v>
      </c>
      <c r="BB7" s="57">
        <f t="shared" si="7"/>
        <v>2</v>
      </c>
    </row>
    <row r="8" spans="1:54" ht="20.100000000000001" customHeight="1" x14ac:dyDescent="0.2">
      <c r="A8" s="122">
        <v>4</v>
      </c>
      <c r="B8" s="103">
        <f t="shared" si="8"/>
        <v>44936.625</v>
      </c>
      <c r="C8" s="104">
        <f t="shared" si="9"/>
        <v>8</v>
      </c>
      <c r="D8" s="117">
        <v>14.999999999563443</v>
      </c>
      <c r="E8" s="45">
        <v>30</v>
      </c>
      <c r="F8" s="126">
        <f t="shared" si="0"/>
        <v>44936.708333333336</v>
      </c>
      <c r="G8" s="44">
        <v>8</v>
      </c>
      <c r="H8" s="45" t="s">
        <v>60</v>
      </c>
      <c r="I8" s="45" t="s">
        <v>137</v>
      </c>
      <c r="J8" s="45" t="s">
        <v>75</v>
      </c>
      <c r="K8" s="45" t="s">
        <v>76</v>
      </c>
      <c r="L8" s="81" t="s">
        <v>79</v>
      </c>
      <c r="M8" s="95">
        <f t="shared" si="10"/>
        <v>8.3333333335758653E-2</v>
      </c>
      <c r="N8" s="96">
        <f t="shared" si="1"/>
        <v>2.0000000000582077</v>
      </c>
      <c r="O8" s="94">
        <f t="shared" si="2"/>
        <v>14.999999999563443</v>
      </c>
      <c r="P8" s="91"/>
      <c r="Q8" s="57"/>
      <c r="R8" s="57">
        <f t="shared" si="3"/>
        <v>1</v>
      </c>
      <c r="S8" s="1" t="s">
        <v>57</v>
      </c>
      <c r="T8" s="57">
        <f t="shared" si="4"/>
        <v>9</v>
      </c>
      <c r="U8" s="57"/>
      <c r="V8" s="57">
        <f t="shared" si="5"/>
        <v>1</v>
      </c>
      <c r="W8" s="57"/>
      <c r="X8" s="57">
        <f t="shared" si="6"/>
        <v>2</v>
      </c>
      <c r="Y8" s="57">
        <f>IF(AND(Table14[[#This Row],[Column1]]=2,Table14[[#This Row],[Column3]]=1,Table14[[#This Row],[Column2]]=1),2,0)</f>
        <v>0</v>
      </c>
      <c r="Z8" s="57">
        <f>IF(AND(Table14[[#This Row],[Column1]]=2,Table14[[#This Row],[Column3]]=2,Table14[[#This Row],[Column2]]=1),3,0)</f>
        <v>0</v>
      </c>
      <c r="AA8" s="57">
        <f>IF(AND(Table14[[#This Row],[Column1]]=2,Table14[[#This Row],[Column3]]=3,Table14[[#This Row],[Column2]]=1),4,0)</f>
        <v>0</v>
      </c>
      <c r="AB8" s="57">
        <f>IF(AND(Table14[[#This Row],[Column1]]=2,Table14[[#This Row],[Column3]]=1,Table14[[#This Row],[Column2]]=2),5,0)</f>
        <v>0</v>
      </c>
      <c r="AC8" s="57">
        <f>IF(AND(Table14[[#This Row],[Column1]]=2,Table14[[#This Row],[Column3]]=2,Table14[[#This Row],[Column2]]=2),6,0)</f>
        <v>0</v>
      </c>
      <c r="AD8" s="57">
        <f>IF(AND(Table14[[#This Row],[Column1]]=2,Table14[[#This Row],[Column3]]=3,Table14[[#This Row],[Column2]]=2),7,0)</f>
        <v>0</v>
      </c>
      <c r="AE8" s="57">
        <f>IF(AND(Table14[[#This Row],[Column1]]=3,Table14[[#This Row],[Column3]]=1),8,0)</f>
        <v>0</v>
      </c>
      <c r="AF8" s="57">
        <f>IF(AND(Table14[[#This Row],[Column1]]=3,Table14[[#This Row],[Column3]]=2),9,0)</f>
        <v>0</v>
      </c>
      <c r="AG8" s="57">
        <f>IF(AND(Table14[[#This Row],[Column1]]=3,Table14[[#This Row],[Column3]]=3),10,0)</f>
        <v>0</v>
      </c>
      <c r="AH8" s="57">
        <f>IF(AND(Table14[[#This Row],[Column1]]=4,Table14[[#This Row],[Column3]]=1),11,0)</f>
        <v>0</v>
      </c>
      <c r="AI8" s="57">
        <f>IF(AND(Table14[[#This Row],[Column1]]=4,Table14[[#This Row],[Column3]]=2),12,0)</f>
        <v>0</v>
      </c>
      <c r="AJ8" s="57">
        <f>IF(AND(Table14[[#This Row],[Column1]]=4,Table14[[#This Row],[Column3]]=3),13,0)</f>
        <v>0</v>
      </c>
      <c r="AK8" s="57">
        <f>IF(AND(Table14[[#This Row],[Column1]]=5,Table14[[#This Row],[Column3]]=1),14,0)</f>
        <v>0</v>
      </c>
      <c r="AL8" s="57">
        <f>IF(AND(Table14[[#This Row],[Column1]]=5,Table14[[#This Row],[Column3]]=2),15,0)</f>
        <v>0</v>
      </c>
      <c r="AM8" s="57">
        <f>IF(AND(Table14[[#This Row],[Column1]]=5,Table14[[#This Row],[Column3]]=3),16,0)</f>
        <v>0</v>
      </c>
      <c r="AN8" s="57">
        <f>IF(AND(Table14[[#This Row],[Column1]]=6,Table14[[#This Row],[Column3]]=1),17,0)</f>
        <v>0</v>
      </c>
      <c r="AO8" s="57">
        <f>IF(AND(Table14[[#This Row],[Column1]]=6,Table14[[#This Row],[Column3]]=2),18,0)</f>
        <v>0</v>
      </c>
      <c r="AP8" s="57">
        <f>IF(AND(Table14[[#This Row],[Column1]]=6,Table14[[#This Row],[Column3]]=3),19,0)</f>
        <v>0</v>
      </c>
      <c r="AQ8" s="57">
        <f>IF(AND(Table14[[#This Row],[Column1]]=7,Table14[[#This Row],[Column3]]=1),20,0)</f>
        <v>0</v>
      </c>
      <c r="AR8" s="57">
        <f>IF(AND(Table14[[#This Row],[Column1]]=7,Table14[[#This Row],[Column3]]=2),21,0)</f>
        <v>0</v>
      </c>
      <c r="AS8" s="57">
        <f>IF(AND(Table14[[#This Row],[Column1]]=7,Table14[[#This Row],[Column3]]=3),22,0)</f>
        <v>0</v>
      </c>
      <c r="AT8" s="57">
        <f>IF(AND(Table14[[#This Row],[Column1]]=8,Table14[[#This Row],[Column3]]=1),23,0)</f>
        <v>0</v>
      </c>
      <c r="AU8" s="57">
        <f>IF(AND(Table14[[#This Row],[Column1]]=8,Table14[[#This Row],[Column3]]=2),24,0)</f>
        <v>0</v>
      </c>
      <c r="AV8" s="57">
        <f>IF(AND(Table14[[#This Row],[Column1]]=8,Table14[[#This Row],[Column3]]=3),25,0)</f>
        <v>0</v>
      </c>
      <c r="AW8" s="57">
        <f>SUM(Table14[[#This Row],[Laden LNG]:[Idle HFO]])</f>
        <v>0</v>
      </c>
      <c r="AX8" s="57">
        <f>IF(AND(Table14[[#This Row],[Reliq]]=1,Table14[[#This Row],[Column3]]=1),26,0)</f>
        <v>0</v>
      </c>
      <c r="AY8" s="57">
        <f>IF(AND(Table14[[#This Row],[Reliq]]=1,Table14[[#This Row],[Column3]]=2),27,0)</f>
        <v>27</v>
      </c>
      <c r="AZ8" s="57">
        <f>IF(AND(Table14[[#This Row],[Reliq]]=1,Table14[[#This Row],[Column3]]=3),28,0)</f>
        <v>0</v>
      </c>
      <c r="BA8" s="57">
        <f>SUM(Table14[[#This Row],[Cooling LNG]:[Cooling HFO]])</f>
        <v>27</v>
      </c>
      <c r="BB8" s="57">
        <f t="shared" si="7"/>
        <v>2</v>
      </c>
    </row>
    <row r="9" spans="1:54" ht="20.100000000000001" customHeight="1" x14ac:dyDescent="0.2">
      <c r="A9" s="122">
        <v>5</v>
      </c>
      <c r="B9" s="103">
        <f t="shared" si="8"/>
        <v>44936.708333333336</v>
      </c>
      <c r="C9" s="104">
        <f t="shared" si="9"/>
        <v>8</v>
      </c>
      <c r="D9" s="117">
        <v>7.0409787459809943</v>
      </c>
      <c r="E9" s="45">
        <v>3760</v>
      </c>
      <c r="F9" s="126">
        <f t="shared" si="0"/>
        <v>44959.000694444447</v>
      </c>
      <c r="G9" s="44">
        <v>9</v>
      </c>
      <c r="H9" s="45" t="s">
        <v>134</v>
      </c>
      <c r="I9" s="45" t="s">
        <v>137</v>
      </c>
      <c r="J9" s="45" t="s">
        <v>75</v>
      </c>
      <c r="K9" s="45" t="s">
        <v>75</v>
      </c>
      <c r="L9" s="81" t="s">
        <v>78</v>
      </c>
      <c r="M9" s="95">
        <f t="shared" si="10"/>
        <v>22.250694444446708</v>
      </c>
      <c r="N9" s="96">
        <f t="shared" si="1"/>
        <v>534.01666666672099</v>
      </c>
      <c r="O9" s="94">
        <f t="shared" si="2"/>
        <v>7.0409787459809943</v>
      </c>
      <c r="P9" s="91"/>
      <c r="Q9" s="57"/>
      <c r="R9" s="57">
        <f t="shared" si="3"/>
        <v>1</v>
      </c>
      <c r="S9" s="1" t="s">
        <v>144</v>
      </c>
      <c r="T9" s="57">
        <f t="shared" si="4"/>
        <v>2</v>
      </c>
      <c r="U9" s="57"/>
      <c r="V9" s="57">
        <f t="shared" si="5"/>
        <v>1</v>
      </c>
      <c r="W9" s="57"/>
      <c r="X9" s="57">
        <f t="shared" si="6"/>
        <v>1</v>
      </c>
      <c r="Y9" s="57">
        <f>IF(AND(Table14[[#This Row],[Column1]]=2,Table14[[#This Row],[Column3]]=1,Table14[[#This Row],[Column2]]=1),2,0)</f>
        <v>2</v>
      </c>
      <c r="Z9" s="57">
        <f>IF(AND(Table14[[#This Row],[Column1]]=2,Table14[[#This Row],[Column3]]=2,Table14[[#This Row],[Column2]]=1),3,0)</f>
        <v>0</v>
      </c>
      <c r="AA9" s="57">
        <f>IF(AND(Table14[[#This Row],[Column1]]=2,Table14[[#This Row],[Column3]]=3,Table14[[#This Row],[Column2]]=1),4,0)</f>
        <v>0</v>
      </c>
      <c r="AB9" s="57">
        <f>IF(AND(Table14[[#This Row],[Column1]]=2,Table14[[#This Row],[Column3]]=1,Table14[[#This Row],[Column2]]=2),5,0)</f>
        <v>0</v>
      </c>
      <c r="AC9" s="57">
        <f>IF(AND(Table14[[#This Row],[Column1]]=2,Table14[[#This Row],[Column3]]=2,Table14[[#This Row],[Column2]]=2),6,0)</f>
        <v>0</v>
      </c>
      <c r="AD9" s="57">
        <f>IF(AND(Table14[[#This Row],[Column1]]=2,Table14[[#This Row],[Column3]]=3,Table14[[#This Row],[Column2]]=2),7,0)</f>
        <v>0</v>
      </c>
      <c r="AE9" s="57">
        <f>IF(AND(Table14[[#This Row],[Column1]]=3,Table14[[#This Row],[Column3]]=1),8,0)</f>
        <v>0</v>
      </c>
      <c r="AF9" s="57">
        <f>IF(AND(Table14[[#This Row],[Column1]]=3,Table14[[#This Row],[Column3]]=2),9,0)</f>
        <v>0</v>
      </c>
      <c r="AG9" s="57">
        <f>IF(AND(Table14[[#This Row],[Column1]]=3,Table14[[#This Row],[Column3]]=3),10,0)</f>
        <v>0</v>
      </c>
      <c r="AH9" s="57">
        <f>IF(AND(Table14[[#This Row],[Column1]]=4,Table14[[#This Row],[Column3]]=1),11,0)</f>
        <v>0</v>
      </c>
      <c r="AI9" s="57">
        <f>IF(AND(Table14[[#This Row],[Column1]]=4,Table14[[#This Row],[Column3]]=2),12,0)</f>
        <v>0</v>
      </c>
      <c r="AJ9" s="57">
        <f>IF(AND(Table14[[#This Row],[Column1]]=4,Table14[[#This Row],[Column3]]=3),13,0)</f>
        <v>0</v>
      </c>
      <c r="AK9" s="57">
        <f>IF(AND(Table14[[#This Row],[Column1]]=5,Table14[[#This Row],[Column3]]=1),14,0)</f>
        <v>0</v>
      </c>
      <c r="AL9" s="57">
        <f>IF(AND(Table14[[#This Row],[Column1]]=5,Table14[[#This Row],[Column3]]=2),15,0)</f>
        <v>0</v>
      </c>
      <c r="AM9" s="57">
        <f>IF(AND(Table14[[#This Row],[Column1]]=5,Table14[[#This Row],[Column3]]=3),16,0)</f>
        <v>0</v>
      </c>
      <c r="AN9" s="57">
        <f>IF(AND(Table14[[#This Row],[Column1]]=6,Table14[[#This Row],[Column3]]=1),17,0)</f>
        <v>0</v>
      </c>
      <c r="AO9" s="57">
        <f>IF(AND(Table14[[#This Row],[Column1]]=6,Table14[[#This Row],[Column3]]=2),18,0)</f>
        <v>0</v>
      </c>
      <c r="AP9" s="57">
        <f>IF(AND(Table14[[#This Row],[Column1]]=6,Table14[[#This Row],[Column3]]=3),19,0)</f>
        <v>0</v>
      </c>
      <c r="AQ9" s="57">
        <f>IF(AND(Table14[[#This Row],[Column1]]=7,Table14[[#This Row],[Column3]]=1),20,0)</f>
        <v>0</v>
      </c>
      <c r="AR9" s="57">
        <f>IF(AND(Table14[[#This Row],[Column1]]=7,Table14[[#This Row],[Column3]]=2),21,0)</f>
        <v>0</v>
      </c>
      <c r="AS9" s="57">
        <f>IF(AND(Table14[[#This Row],[Column1]]=7,Table14[[#This Row],[Column3]]=3),22,0)</f>
        <v>0</v>
      </c>
      <c r="AT9" s="57">
        <f>IF(AND(Table14[[#This Row],[Column1]]=8,Table14[[#This Row],[Column3]]=1),23,0)</f>
        <v>0</v>
      </c>
      <c r="AU9" s="57">
        <f>IF(AND(Table14[[#This Row],[Column1]]=8,Table14[[#This Row],[Column3]]=2),24,0)</f>
        <v>0</v>
      </c>
      <c r="AV9" s="57">
        <f>IF(AND(Table14[[#This Row],[Column1]]=8,Table14[[#This Row],[Column3]]=3),25,0)</f>
        <v>0</v>
      </c>
      <c r="AW9" s="57">
        <f>SUM(Table14[[#This Row],[Laden LNG]:[Idle HFO]])</f>
        <v>2</v>
      </c>
      <c r="AX9" s="57">
        <f>IF(AND(Table14[[#This Row],[Reliq]]=1,Table14[[#This Row],[Column3]]=1),26,0)</f>
        <v>26</v>
      </c>
      <c r="AY9" s="57">
        <f>IF(AND(Table14[[#This Row],[Reliq]]=1,Table14[[#This Row],[Column3]]=2),27,0)</f>
        <v>0</v>
      </c>
      <c r="AZ9" s="57">
        <f>IF(AND(Table14[[#This Row],[Reliq]]=1,Table14[[#This Row],[Column3]]=3),28,0)</f>
        <v>0</v>
      </c>
      <c r="BA9" s="57">
        <f>SUM(Table14[[#This Row],[Cooling LNG]:[Cooling HFO]])</f>
        <v>26</v>
      </c>
      <c r="BB9" s="57">
        <f t="shared" si="7"/>
        <v>1</v>
      </c>
    </row>
    <row r="10" spans="1:54" ht="20.100000000000001" customHeight="1" x14ac:dyDescent="0.2">
      <c r="A10" s="122">
        <v>6</v>
      </c>
      <c r="B10" s="103">
        <f t="shared" si="8"/>
        <v>44959.000694444447</v>
      </c>
      <c r="C10" s="104">
        <f t="shared" si="9"/>
        <v>9</v>
      </c>
      <c r="D10" s="117">
        <v>6.6852367688629286</v>
      </c>
      <c r="E10" s="45">
        <v>40</v>
      </c>
      <c r="F10" s="126">
        <f t="shared" si="0"/>
        <v>44959.25</v>
      </c>
      <c r="G10" s="44">
        <v>9</v>
      </c>
      <c r="H10" s="45" t="s">
        <v>60</v>
      </c>
      <c r="I10" s="45" t="s">
        <v>137</v>
      </c>
      <c r="J10" s="45" t="s">
        <v>75</v>
      </c>
      <c r="K10" s="45" t="s">
        <v>76</v>
      </c>
      <c r="L10" s="81" t="s">
        <v>79</v>
      </c>
      <c r="M10" s="95">
        <f t="shared" si="10"/>
        <v>0.24930555555329192</v>
      </c>
      <c r="N10" s="96">
        <f t="shared" si="1"/>
        <v>5.9833333332790062</v>
      </c>
      <c r="O10" s="94">
        <f t="shared" si="2"/>
        <v>6.6852367688629286</v>
      </c>
      <c r="P10" s="91"/>
      <c r="Q10" s="57"/>
      <c r="R10" s="57">
        <f t="shared" si="3"/>
        <v>1</v>
      </c>
      <c r="S10" s="1" t="s">
        <v>55</v>
      </c>
      <c r="T10" s="57">
        <f t="shared" si="4"/>
        <v>9</v>
      </c>
      <c r="U10" s="57"/>
      <c r="V10" s="57">
        <f t="shared" si="5"/>
        <v>1</v>
      </c>
      <c r="W10" s="57"/>
      <c r="X10" s="57">
        <f t="shared" si="6"/>
        <v>2</v>
      </c>
      <c r="Y10" s="57">
        <f>IF(AND(Table14[[#This Row],[Column1]]=2,Table14[[#This Row],[Column3]]=1,Table14[[#This Row],[Column2]]=1),2,0)</f>
        <v>0</v>
      </c>
      <c r="Z10" s="57">
        <f>IF(AND(Table14[[#This Row],[Column1]]=2,Table14[[#This Row],[Column3]]=2,Table14[[#This Row],[Column2]]=1),3,0)</f>
        <v>0</v>
      </c>
      <c r="AA10" s="57">
        <f>IF(AND(Table14[[#This Row],[Column1]]=2,Table14[[#This Row],[Column3]]=3,Table14[[#This Row],[Column2]]=1),4,0)</f>
        <v>0</v>
      </c>
      <c r="AB10" s="57">
        <f>IF(AND(Table14[[#This Row],[Column1]]=2,Table14[[#This Row],[Column3]]=1,Table14[[#This Row],[Column2]]=2),5,0)</f>
        <v>0</v>
      </c>
      <c r="AC10" s="57">
        <f>IF(AND(Table14[[#This Row],[Column1]]=2,Table14[[#This Row],[Column3]]=2,Table14[[#This Row],[Column2]]=2),6,0)</f>
        <v>0</v>
      </c>
      <c r="AD10" s="57">
        <f>IF(AND(Table14[[#This Row],[Column1]]=2,Table14[[#This Row],[Column3]]=3,Table14[[#This Row],[Column2]]=2),7,0)</f>
        <v>0</v>
      </c>
      <c r="AE10" s="57">
        <f>IF(AND(Table14[[#This Row],[Column1]]=3,Table14[[#This Row],[Column3]]=1),8,0)</f>
        <v>0</v>
      </c>
      <c r="AF10" s="57">
        <f>IF(AND(Table14[[#This Row],[Column1]]=3,Table14[[#This Row],[Column3]]=2),9,0)</f>
        <v>0</v>
      </c>
      <c r="AG10" s="57">
        <f>IF(AND(Table14[[#This Row],[Column1]]=3,Table14[[#This Row],[Column3]]=3),10,0)</f>
        <v>0</v>
      </c>
      <c r="AH10" s="57">
        <f>IF(AND(Table14[[#This Row],[Column1]]=4,Table14[[#This Row],[Column3]]=1),11,0)</f>
        <v>0</v>
      </c>
      <c r="AI10" s="57">
        <f>IF(AND(Table14[[#This Row],[Column1]]=4,Table14[[#This Row],[Column3]]=2),12,0)</f>
        <v>0</v>
      </c>
      <c r="AJ10" s="57">
        <f>IF(AND(Table14[[#This Row],[Column1]]=4,Table14[[#This Row],[Column3]]=3),13,0)</f>
        <v>0</v>
      </c>
      <c r="AK10" s="57">
        <f>IF(AND(Table14[[#This Row],[Column1]]=5,Table14[[#This Row],[Column3]]=1),14,0)</f>
        <v>0</v>
      </c>
      <c r="AL10" s="57">
        <f>IF(AND(Table14[[#This Row],[Column1]]=5,Table14[[#This Row],[Column3]]=2),15,0)</f>
        <v>0</v>
      </c>
      <c r="AM10" s="57">
        <f>IF(AND(Table14[[#This Row],[Column1]]=5,Table14[[#This Row],[Column3]]=3),16,0)</f>
        <v>0</v>
      </c>
      <c r="AN10" s="57">
        <f>IF(AND(Table14[[#This Row],[Column1]]=6,Table14[[#This Row],[Column3]]=1),17,0)</f>
        <v>0</v>
      </c>
      <c r="AO10" s="57">
        <f>IF(AND(Table14[[#This Row],[Column1]]=6,Table14[[#This Row],[Column3]]=2),18,0)</f>
        <v>0</v>
      </c>
      <c r="AP10" s="57">
        <f>IF(AND(Table14[[#This Row],[Column1]]=6,Table14[[#This Row],[Column3]]=3),19,0)</f>
        <v>0</v>
      </c>
      <c r="AQ10" s="57">
        <f>IF(AND(Table14[[#This Row],[Column1]]=7,Table14[[#This Row],[Column3]]=1),20,0)</f>
        <v>0</v>
      </c>
      <c r="AR10" s="57">
        <f>IF(AND(Table14[[#This Row],[Column1]]=7,Table14[[#This Row],[Column3]]=2),21,0)</f>
        <v>0</v>
      </c>
      <c r="AS10" s="57">
        <f>IF(AND(Table14[[#This Row],[Column1]]=7,Table14[[#This Row],[Column3]]=3),22,0)</f>
        <v>0</v>
      </c>
      <c r="AT10" s="57">
        <f>IF(AND(Table14[[#This Row],[Column1]]=8,Table14[[#This Row],[Column3]]=1),23,0)</f>
        <v>0</v>
      </c>
      <c r="AU10" s="57">
        <f>IF(AND(Table14[[#This Row],[Column1]]=8,Table14[[#This Row],[Column3]]=2),24,0)</f>
        <v>0</v>
      </c>
      <c r="AV10" s="57">
        <f>IF(AND(Table14[[#This Row],[Column1]]=8,Table14[[#This Row],[Column3]]=3),25,0)</f>
        <v>0</v>
      </c>
      <c r="AW10" s="57">
        <f>SUM(Table14[[#This Row],[Laden LNG]:[Idle HFO]])</f>
        <v>0</v>
      </c>
      <c r="AX10" s="57">
        <f>IF(AND(Table14[[#This Row],[Reliq]]=1,Table14[[#This Row],[Column3]]=1),26,0)</f>
        <v>0</v>
      </c>
      <c r="AY10" s="57">
        <f>IF(AND(Table14[[#This Row],[Reliq]]=1,Table14[[#This Row],[Column3]]=2),27,0)</f>
        <v>27</v>
      </c>
      <c r="AZ10" s="57">
        <f>IF(AND(Table14[[#This Row],[Reliq]]=1,Table14[[#This Row],[Column3]]=3),28,0)</f>
        <v>0</v>
      </c>
      <c r="BA10" s="57">
        <f>SUM(Table14[[#This Row],[Cooling LNG]:[Cooling HFO]])</f>
        <v>27</v>
      </c>
      <c r="BB10" s="57">
        <f t="shared" si="7"/>
        <v>2</v>
      </c>
    </row>
    <row r="11" spans="1:54" ht="20.100000000000001" customHeight="1" x14ac:dyDescent="0.2">
      <c r="A11" s="122">
        <v>7</v>
      </c>
      <c r="B11" s="103">
        <f t="shared" si="8"/>
        <v>44959.25</v>
      </c>
      <c r="C11" s="104">
        <f t="shared" si="9"/>
        <v>9</v>
      </c>
      <c r="D11" s="117">
        <v>1</v>
      </c>
      <c r="E11" s="45">
        <v>30</v>
      </c>
      <c r="F11" s="126">
        <f t="shared" si="0"/>
        <v>44960.5</v>
      </c>
      <c r="G11" s="44">
        <v>9</v>
      </c>
      <c r="H11" s="45" t="s">
        <v>57</v>
      </c>
      <c r="I11" s="45" t="s">
        <v>137</v>
      </c>
      <c r="J11" s="45" t="s">
        <v>76</v>
      </c>
      <c r="K11" s="45" t="s">
        <v>76</v>
      </c>
      <c r="L11" s="81" t="s">
        <v>79</v>
      </c>
      <c r="M11" s="95">
        <f t="shared" si="10"/>
        <v>1.25</v>
      </c>
      <c r="N11" s="96">
        <f t="shared" si="1"/>
        <v>30</v>
      </c>
      <c r="O11" s="94">
        <f t="shared" si="2"/>
        <v>1</v>
      </c>
      <c r="P11" s="91"/>
      <c r="Q11" s="57"/>
      <c r="R11" s="57">
        <f t="shared" si="3"/>
        <v>1</v>
      </c>
      <c r="S11" s="1" t="s">
        <v>59</v>
      </c>
      <c r="T11" s="57">
        <f t="shared" si="4"/>
        <v>4</v>
      </c>
      <c r="U11" s="57"/>
      <c r="V11" s="57">
        <f t="shared" si="5"/>
        <v>2</v>
      </c>
      <c r="W11" s="57"/>
      <c r="X11" s="57">
        <f t="shared" si="6"/>
        <v>2</v>
      </c>
      <c r="Y11" s="57">
        <f>IF(AND(Table14[[#This Row],[Column1]]=2,Table14[[#This Row],[Column3]]=1,Table14[[#This Row],[Column2]]=1),2,0)</f>
        <v>0</v>
      </c>
      <c r="Z11" s="57">
        <f>IF(AND(Table14[[#This Row],[Column1]]=2,Table14[[#This Row],[Column3]]=2,Table14[[#This Row],[Column2]]=1),3,0)</f>
        <v>0</v>
      </c>
      <c r="AA11" s="57">
        <f>IF(AND(Table14[[#This Row],[Column1]]=2,Table14[[#This Row],[Column3]]=3,Table14[[#This Row],[Column2]]=1),4,0)</f>
        <v>0</v>
      </c>
      <c r="AB11" s="57">
        <f>IF(AND(Table14[[#This Row],[Column1]]=2,Table14[[#This Row],[Column3]]=1,Table14[[#This Row],[Column2]]=2),5,0)</f>
        <v>0</v>
      </c>
      <c r="AC11" s="57">
        <f>IF(AND(Table14[[#This Row],[Column1]]=2,Table14[[#This Row],[Column3]]=2,Table14[[#This Row],[Column2]]=2),6,0)</f>
        <v>0</v>
      </c>
      <c r="AD11" s="57">
        <f>IF(AND(Table14[[#This Row],[Column1]]=2,Table14[[#This Row],[Column3]]=3,Table14[[#This Row],[Column2]]=2),7,0)</f>
        <v>0</v>
      </c>
      <c r="AE11" s="57">
        <f>IF(AND(Table14[[#This Row],[Column1]]=3,Table14[[#This Row],[Column3]]=1),8,0)</f>
        <v>0</v>
      </c>
      <c r="AF11" s="57">
        <f>IF(AND(Table14[[#This Row],[Column1]]=3,Table14[[#This Row],[Column3]]=2),9,0)</f>
        <v>0</v>
      </c>
      <c r="AG11" s="57">
        <f>IF(AND(Table14[[#This Row],[Column1]]=3,Table14[[#This Row],[Column3]]=3),10,0)</f>
        <v>0</v>
      </c>
      <c r="AH11" s="57">
        <f>IF(AND(Table14[[#This Row],[Column1]]=4,Table14[[#This Row],[Column3]]=1),11,0)</f>
        <v>0</v>
      </c>
      <c r="AI11" s="57">
        <f>IF(AND(Table14[[#This Row],[Column1]]=4,Table14[[#This Row],[Column3]]=2),12,0)</f>
        <v>12</v>
      </c>
      <c r="AJ11" s="57">
        <f>IF(AND(Table14[[#This Row],[Column1]]=4,Table14[[#This Row],[Column3]]=3),13,0)</f>
        <v>0</v>
      </c>
      <c r="AK11" s="57">
        <f>IF(AND(Table14[[#This Row],[Column1]]=5,Table14[[#This Row],[Column3]]=1),14,0)</f>
        <v>0</v>
      </c>
      <c r="AL11" s="57">
        <f>IF(AND(Table14[[#This Row],[Column1]]=5,Table14[[#This Row],[Column3]]=2),15,0)</f>
        <v>0</v>
      </c>
      <c r="AM11" s="57">
        <f>IF(AND(Table14[[#This Row],[Column1]]=5,Table14[[#This Row],[Column3]]=3),16,0)</f>
        <v>0</v>
      </c>
      <c r="AN11" s="57">
        <f>IF(AND(Table14[[#This Row],[Column1]]=6,Table14[[#This Row],[Column3]]=1),17,0)</f>
        <v>0</v>
      </c>
      <c r="AO11" s="57">
        <f>IF(AND(Table14[[#This Row],[Column1]]=6,Table14[[#This Row],[Column3]]=2),18,0)</f>
        <v>0</v>
      </c>
      <c r="AP11" s="57">
        <f>IF(AND(Table14[[#This Row],[Column1]]=6,Table14[[#This Row],[Column3]]=3),19,0)</f>
        <v>0</v>
      </c>
      <c r="AQ11" s="57">
        <f>IF(AND(Table14[[#This Row],[Column1]]=7,Table14[[#This Row],[Column3]]=1),20,0)</f>
        <v>0</v>
      </c>
      <c r="AR11" s="57">
        <f>IF(AND(Table14[[#This Row],[Column1]]=7,Table14[[#This Row],[Column3]]=2),21,0)</f>
        <v>0</v>
      </c>
      <c r="AS11" s="57">
        <f>IF(AND(Table14[[#This Row],[Column1]]=7,Table14[[#This Row],[Column3]]=3),22,0)</f>
        <v>0</v>
      </c>
      <c r="AT11" s="57">
        <f>IF(AND(Table14[[#This Row],[Column1]]=8,Table14[[#This Row],[Column3]]=1),23,0)</f>
        <v>0</v>
      </c>
      <c r="AU11" s="57">
        <f>IF(AND(Table14[[#This Row],[Column1]]=8,Table14[[#This Row],[Column3]]=2),24,0)</f>
        <v>0</v>
      </c>
      <c r="AV11" s="57">
        <f>IF(AND(Table14[[#This Row],[Column1]]=8,Table14[[#This Row],[Column3]]=3),25,0)</f>
        <v>0</v>
      </c>
      <c r="AW11" s="57">
        <f>SUM(Table14[[#This Row],[Laden LNG]:[Idle HFO]])</f>
        <v>12</v>
      </c>
      <c r="AX11" s="57">
        <f>IF(AND(Table14[[#This Row],[Reliq]]=1,Table14[[#This Row],[Column3]]=1),26,0)</f>
        <v>0</v>
      </c>
      <c r="AY11" s="57">
        <f>IF(AND(Table14[[#This Row],[Reliq]]=1,Table14[[#This Row],[Column3]]=2),27,0)</f>
        <v>0</v>
      </c>
      <c r="AZ11" s="57">
        <f>IF(AND(Table14[[#This Row],[Reliq]]=1,Table14[[#This Row],[Column3]]=3),28,0)</f>
        <v>0</v>
      </c>
      <c r="BA11" s="57">
        <f>SUM(Table14[[#This Row],[Cooling LNG]:[Cooling HFO]])</f>
        <v>0</v>
      </c>
      <c r="BB11" s="57">
        <f t="shared" si="7"/>
        <v>2</v>
      </c>
    </row>
    <row r="12" spans="1:54" ht="20.100000000000001" customHeight="1" x14ac:dyDescent="0.2">
      <c r="A12" s="122">
        <v>8</v>
      </c>
      <c r="B12" s="103">
        <f t="shared" si="8"/>
        <v>44960.5</v>
      </c>
      <c r="C12" s="104">
        <f t="shared" si="9"/>
        <v>9</v>
      </c>
      <c r="D12" s="117" t="s">
        <v>145</v>
      </c>
      <c r="E12" s="45"/>
      <c r="F12" s="126" t="str">
        <f t="shared" si="0"/>
        <v/>
      </c>
      <c r="G12" s="44"/>
      <c r="H12" s="45"/>
      <c r="I12" s="45"/>
      <c r="J12" s="45"/>
      <c r="K12" s="45"/>
      <c r="L12" s="81"/>
      <c r="M12" s="95">
        <f t="shared" si="10"/>
        <v>0</v>
      </c>
      <c r="N12" s="96">
        <f t="shared" si="1"/>
        <v>0</v>
      </c>
      <c r="O12" s="94">
        <f t="shared" si="2"/>
        <v>0</v>
      </c>
      <c r="P12" s="91"/>
      <c r="Q12" s="57"/>
      <c r="R12" s="57">
        <f t="shared" si="3"/>
        <v>3</v>
      </c>
      <c r="S12" s="57" t="s">
        <v>61</v>
      </c>
      <c r="T12" s="57">
        <f t="shared" si="4"/>
        <v>1</v>
      </c>
      <c r="U12" s="57"/>
      <c r="V12" s="57">
        <f t="shared" si="5"/>
        <v>3</v>
      </c>
      <c r="W12" s="57"/>
      <c r="X12" s="57">
        <f t="shared" si="6"/>
        <v>4</v>
      </c>
      <c r="Y12" s="57">
        <f>IF(AND(Table14[[#This Row],[Column1]]=2,Table14[[#This Row],[Column3]]=1,Table14[[#This Row],[Column2]]=1),2,0)</f>
        <v>0</v>
      </c>
      <c r="Z12" s="57">
        <f>IF(AND(Table14[[#This Row],[Column1]]=2,Table14[[#This Row],[Column3]]=2,Table14[[#This Row],[Column2]]=1),3,0)</f>
        <v>0</v>
      </c>
      <c r="AA12" s="57">
        <f>IF(AND(Table14[[#This Row],[Column1]]=2,Table14[[#This Row],[Column3]]=3,Table14[[#This Row],[Column2]]=1),4,0)</f>
        <v>0</v>
      </c>
      <c r="AB12" s="57">
        <f>IF(AND(Table14[[#This Row],[Column1]]=2,Table14[[#This Row],[Column3]]=1,Table14[[#This Row],[Column2]]=2),5,0)</f>
        <v>0</v>
      </c>
      <c r="AC12" s="57">
        <f>IF(AND(Table14[[#This Row],[Column1]]=2,Table14[[#This Row],[Column3]]=2,Table14[[#This Row],[Column2]]=2),6,0)</f>
        <v>0</v>
      </c>
      <c r="AD12" s="57">
        <f>IF(AND(Table14[[#This Row],[Column1]]=2,Table14[[#This Row],[Column3]]=3,Table14[[#This Row],[Column2]]=2),7,0)</f>
        <v>0</v>
      </c>
      <c r="AE12" s="57">
        <f>IF(AND(Table14[[#This Row],[Column1]]=3,Table14[[#This Row],[Column3]]=1),8,0)</f>
        <v>0</v>
      </c>
      <c r="AF12" s="57">
        <f>IF(AND(Table14[[#This Row],[Column1]]=3,Table14[[#This Row],[Column3]]=2),9,0)</f>
        <v>0</v>
      </c>
      <c r="AG12" s="57">
        <f>IF(AND(Table14[[#This Row],[Column1]]=3,Table14[[#This Row],[Column3]]=3),10,0)</f>
        <v>0</v>
      </c>
      <c r="AH12" s="57">
        <f>IF(AND(Table14[[#This Row],[Column1]]=4,Table14[[#This Row],[Column3]]=1),11,0)</f>
        <v>0</v>
      </c>
      <c r="AI12" s="57">
        <f>IF(AND(Table14[[#This Row],[Column1]]=4,Table14[[#This Row],[Column3]]=2),12,0)</f>
        <v>0</v>
      </c>
      <c r="AJ12" s="57">
        <f>IF(AND(Table14[[#This Row],[Column1]]=4,Table14[[#This Row],[Column3]]=3),13,0)</f>
        <v>0</v>
      </c>
      <c r="AK12" s="57">
        <f>IF(AND(Table14[[#This Row],[Column1]]=5,Table14[[#This Row],[Column3]]=1),14,0)</f>
        <v>0</v>
      </c>
      <c r="AL12" s="57">
        <f>IF(AND(Table14[[#This Row],[Column1]]=5,Table14[[#This Row],[Column3]]=2),15,0)</f>
        <v>0</v>
      </c>
      <c r="AM12" s="57">
        <f>IF(AND(Table14[[#This Row],[Column1]]=5,Table14[[#This Row],[Column3]]=3),16,0)</f>
        <v>0</v>
      </c>
      <c r="AN12" s="57">
        <f>IF(AND(Table14[[#This Row],[Column1]]=6,Table14[[#This Row],[Column3]]=1),17,0)</f>
        <v>0</v>
      </c>
      <c r="AO12" s="57">
        <f>IF(AND(Table14[[#This Row],[Column1]]=6,Table14[[#This Row],[Column3]]=2),18,0)</f>
        <v>0</v>
      </c>
      <c r="AP12" s="57">
        <f>IF(AND(Table14[[#This Row],[Column1]]=6,Table14[[#This Row],[Column3]]=3),19,0)</f>
        <v>0</v>
      </c>
      <c r="AQ12" s="57">
        <f>IF(AND(Table14[[#This Row],[Column1]]=7,Table14[[#This Row],[Column3]]=1),20,0)</f>
        <v>0</v>
      </c>
      <c r="AR12" s="57">
        <f>IF(AND(Table14[[#This Row],[Column1]]=7,Table14[[#This Row],[Column3]]=2),21,0)</f>
        <v>0</v>
      </c>
      <c r="AS12" s="57">
        <f>IF(AND(Table14[[#This Row],[Column1]]=7,Table14[[#This Row],[Column3]]=3),22,0)</f>
        <v>0</v>
      </c>
      <c r="AT12" s="57">
        <f>IF(AND(Table14[[#This Row],[Column1]]=8,Table14[[#This Row],[Column3]]=1),23,0)</f>
        <v>0</v>
      </c>
      <c r="AU12" s="57">
        <f>IF(AND(Table14[[#This Row],[Column1]]=8,Table14[[#This Row],[Column3]]=2),24,0)</f>
        <v>0</v>
      </c>
      <c r="AV12" s="57">
        <f>IF(AND(Table14[[#This Row],[Column1]]=8,Table14[[#This Row],[Column3]]=3),25,0)</f>
        <v>0</v>
      </c>
      <c r="AW12" s="57">
        <f>SUM(Table14[[#This Row],[Laden LNG]:[Idle HFO]])</f>
        <v>0</v>
      </c>
      <c r="AX12" s="57">
        <f>IF(AND(Table14[[#This Row],[Reliq]]=1,Table14[[#This Row],[Column3]]=1),26,0)</f>
        <v>0</v>
      </c>
      <c r="AY12" s="57">
        <f>IF(AND(Table14[[#This Row],[Reliq]]=1,Table14[[#This Row],[Column3]]=2),27,0)</f>
        <v>0</v>
      </c>
      <c r="AZ12" s="57">
        <f>IF(AND(Table14[[#This Row],[Reliq]]=1,Table14[[#This Row],[Column3]]=3),28,0)</f>
        <v>0</v>
      </c>
      <c r="BA12" s="57">
        <f>SUM(Table14[[#This Row],[Cooling LNG]:[Cooling HFO]])</f>
        <v>0</v>
      </c>
      <c r="BB12" s="57">
        <f t="shared" si="7"/>
        <v>3</v>
      </c>
    </row>
    <row r="13" spans="1:54" ht="20.100000000000001" customHeight="1" x14ac:dyDescent="0.2">
      <c r="A13" s="122">
        <v>9</v>
      </c>
      <c r="B13" s="103" t="str">
        <f t="shared" si="8"/>
        <v/>
      </c>
      <c r="C13" s="104" t="str">
        <f t="shared" si="9"/>
        <v/>
      </c>
      <c r="D13" s="117" t="s">
        <v>145</v>
      </c>
      <c r="E13" s="45"/>
      <c r="F13" s="126" t="str">
        <f t="shared" si="0"/>
        <v/>
      </c>
      <c r="G13" s="44"/>
      <c r="H13" s="45"/>
      <c r="I13" s="45"/>
      <c r="J13" s="45"/>
      <c r="K13" s="45"/>
      <c r="L13" s="81"/>
      <c r="M13" s="95">
        <f t="shared" si="10"/>
        <v>0</v>
      </c>
      <c r="N13" s="96">
        <f t="shared" si="1"/>
        <v>0</v>
      </c>
      <c r="O13" s="94">
        <f t="shared" si="2"/>
        <v>0</v>
      </c>
      <c r="P13" s="91"/>
      <c r="Q13" s="57"/>
      <c r="R13" s="57">
        <f t="shared" si="3"/>
        <v>3</v>
      </c>
      <c r="S13" s="57"/>
      <c r="T13" s="57">
        <f t="shared" si="4"/>
        <v>1</v>
      </c>
      <c r="U13" s="57"/>
      <c r="V13" s="57">
        <f t="shared" si="5"/>
        <v>3</v>
      </c>
      <c r="W13" s="57"/>
      <c r="X13" s="57">
        <f t="shared" si="6"/>
        <v>4</v>
      </c>
      <c r="Y13" s="57">
        <f>IF(AND(Table14[[#This Row],[Column1]]=2,Table14[[#This Row],[Column3]]=1,Table14[[#This Row],[Column2]]=1),2,0)</f>
        <v>0</v>
      </c>
      <c r="Z13" s="57">
        <f>IF(AND(Table14[[#This Row],[Column1]]=2,Table14[[#This Row],[Column3]]=2,Table14[[#This Row],[Column2]]=1),3,0)</f>
        <v>0</v>
      </c>
      <c r="AA13" s="57">
        <f>IF(AND(Table14[[#This Row],[Column1]]=2,Table14[[#This Row],[Column3]]=3,Table14[[#This Row],[Column2]]=1),4,0)</f>
        <v>0</v>
      </c>
      <c r="AB13" s="57">
        <f>IF(AND(Table14[[#This Row],[Column1]]=2,Table14[[#This Row],[Column3]]=1,Table14[[#This Row],[Column2]]=2),5,0)</f>
        <v>0</v>
      </c>
      <c r="AC13" s="57">
        <f>IF(AND(Table14[[#This Row],[Column1]]=2,Table14[[#This Row],[Column3]]=2,Table14[[#This Row],[Column2]]=2),6,0)</f>
        <v>0</v>
      </c>
      <c r="AD13" s="57">
        <f>IF(AND(Table14[[#This Row],[Column1]]=2,Table14[[#This Row],[Column3]]=3,Table14[[#This Row],[Column2]]=2),7,0)</f>
        <v>0</v>
      </c>
      <c r="AE13" s="57">
        <f>IF(AND(Table14[[#This Row],[Column1]]=3,Table14[[#This Row],[Column3]]=1),8,0)</f>
        <v>0</v>
      </c>
      <c r="AF13" s="57">
        <f>IF(AND(Table14[[#This Row],[Column1]]=3,Table14[[#This Row],[Column3]]=2),9,0)</f>
        <v>0</v>
      </c>
      <c r="AG13" s="57">
        <f>IF(AND(Table14[[#This Row],[Column1]]=3,Table14[[#This Row],[Column3]]=3),10,0)</f>
        <v>0</v>
      </c>
      <c r="AH13" s="57">
        <f>IF(AND(Table14[[#This Row],[Column1]]=4,Table14[[#This Row],[Column3]]=1),11,0)</f>
        <v>0</v>
      </c>
      <c r="AI13" s="57">
        <f>IF(AND(Table14[[#This Row],[Column1]]=4,Table14[[#This Row],[Column3]]=2),12,0)</f>
        <v>0</v>
      </c>
      <c r="AJ13" s="57">
        <f>IF(AND(Table14[[#This Row],[Column1]]=4,Table14[[#This Row],[Column3]]=3),13,0)</f>
        <v>0</v>
      </c>
      <c r="AK13" s="57">
        <f>IF(AND(Table14[[#This Row],[Column1]]=5,Table14[[#This Row],[Column3]]=1),14,0)</f>
        <v>0</v>
      </c>
      <c r="AL13" s="57">
        <f>IF(AND(Table14[[#This Row],[Column1]]=5,Table14[[#This Row],[Column3]]=2),15,0)</f>
        <v>0</v>
      </c>
      <c r="AM13" s="57">
        <f>IF(AND(Table14[[#This Row],[Column1]]=5,Table14[[#This Row],[Column3]]=3),16,0)</f>
        <v>0</v>
      </c>
      <c r="AN13" s="57">
        <f>IF(AND(Table14[[#This Row],[Column1]]=6,Table14[[#This Row],[Column3]]=1),17,0)</f>
        <v>0</v>
      </c>
      <c r="AO13" s="57">
        <f>IF(AND(Table14[[#This Row],[Column1]]=6,Table14[[#This Row],[Column3]]=2),18,0)</f>
        <v>0</v>
      </c>
      <c r="AP13" s="57">
        <f>IF(AND(Table14[[#This Row],[Column1]]=6,Table14[[#This Row],[Column3]]=3),19,0)</f>
        <v>0</v>
      </c>
      <c r="AQ13" s="57">
        <f>IF(AND(Table14[[#This Row],[Column1]]=7,Table14[[#This Row],[Column3]]=1),20,0)</f>
        <v>0</v>
      </c>
      <c r="AR13" s="57">
        <f>IF(AND(Table14[[#This Row],[Column1]]=7,Table14[[#This Row],[Column3]]=2),21,0)</f>
        <v>0</v>
      </c>
      <c r="AS13" s="57">
        <f>IF(AND(Table14[[#This Row],[Column1]]=7,Table14[[#This Row],[Column3]]=3),22,0)</f>
        <v>0</v>
      </c>
      <c r="AT13" s="57">
        <f>IF(AND(Table14[[#This Row],[Column1]]=8,Table14[[#This Row],[Column3]]=1),23,0)</f>
        <v>0</v>
      </c>
      <c r="AU13" s="57">
        <f>IF(AND(Table14[[#This Row],[Column1]]=8,Table14[[#This Row],[Column3]]=2),24,0)</f>
        <v>0</v>
      </c>
      <c r="AV13" s="57">
        <f>IF(AND(Table14[[#This Row],[Column1]]=8,Table14[[#This Row],[Column3]]=3),25,0)</f>
        <v>0</v>
      </c>
      <c r="AW13" s="57">
        <f>SUM(Table14[[#This Row],[Laden LNG]:[Idle HFO]])</f>
        <v>0</v>
      </c>
      <c r="AX13" s="57">
        <f>IF(AND(Table14[[#This Row],[Reliq]]=1,Table14[[#This Row],[Column3]]=1),26,0)</f>
        <v>0</v>
      </c>
      <c r="AY13" s="57">
        <f>IF(AND(Table14[[#This Row],[Reliq]]=1,Table14[[#This Row],[Column3]]=2),27,0)</f>
        <v>0</v>
      </c>
      <c r="AZ13" s="57">
        <f>IF(AND(Table14[[#This Row],[Reliq]]=1,Table14[[#This Row],[Column3]]=3),28,0)</f>
        <v>0</v>
      </c>
      <c r="BA13" s="57">
        <f>SUM(Table14[[#This Row],[Cooling LNG]:[Cooling HFO]])</f>
        <v>0</v>
      </c>
      <c r="BB13" s="57">
        <f t="shared" si="7"/>
        <v>3</v>
      </c>
    </row>
    <row r="14" spans="1:54" ht="20.100000000000001" customHeight="1" x14ac:dyDescent="0.2">
      <c r="A14" s="122">
        <v>10</v>
      </c>
      <c r="B14" s="103" t="str">
        <f t="shared" si="8"/>
        <v/>
      </c>
      <c r="C14" s="104" t="str">
        <f t="shared" si="9"/>
        <v/>
      </c>
      <c r="D14" s="117" t="s">
        <v>145</v>
      </c>
      <c r="E14" s="45"/>
      <c r="F14" s="126" t="str">
        <f t="shared" si="0"/>
        <v/>
      </c>
      <c r="G14" s="44"/>
      <c r="H14" s="45"/>
      <c r="I14" s="45"/>
      <c r="J14" s="45"/>
      <c r="K14" s="45"/>
      <c r="L14" s="81"/>
      <c r="M14" s="95">
        <f t="shared" si="10"/>
        <v>0</v>
      </c>
      <c r="N14" s="96">
        <f t="shared" si="1"/>
        <v>0</v>
      </c>
      <c r="O14" s="94">
        <f t="shared" si="2"/>
        <v>0</v>
      </c>
      <c r="P14" s="91"/>
      <c r="Q14" s="57"/>
      <c r="R14" s="57">
        <f t="shared" si="3"/>
        <v>3</v>
      </c>
      <c r="S14" s="57"/>
      <c r="T14" s="57">
        <f t="shared" si="4"/>
        <v>1</v>
      </c>
      <c r="U14" s="57"/>
      <c r="V14" s="57">
        <f t="shared" si="5"/>
        <v>3</v>
      </c>
      <c r="W14" s="57"/>
      <c r="X14" s="57">
        <f t="shared" si="6"/>
        <v>4</v>
      </c>
      <c r="Y14" s="57">
        <f>IF(AND(Table14[[#This Row],[Column1]]=2,Table14[[#This Row],[Column3]]=1,Table14[[#This Row],[Column2]]=1),2,0)</f>
        <v>0</v>
      </c>
      <c r="Z14" s="57">
        <f>IF(AND(Table14[[#This Row],[Column1]]=2,Table14[[#This Row],[Column3]]=2,Table14[[#This Row],[Column2]]=1),3,0)</f>
        <v>0</v>
      </c>
      <c r="AA14" s="57">
        <f>IF(AND(Table14[[#This Row],[Column1]]=2,Table14[[#This Row],[Column3]]=3,Table14[[#This Row],[Column2]]=1),4,0)</f>
        <v>0</v>
      </c>
      <c r="AB14" s="57">
        <f>IF(AND(Table14[[#This Row],[Column1]]=2,Table14[[#This Row],[Column3]]=1,Table14[[#This Row],[Column2]]=2),5,0)</f>
        <v>0</v>
      </c>
      <c r="AC14" s="57">
        <f>IF(AND(Table14[[#This Row],[Column1]]=2,Table14[[#This Row],[Column3]]=2,Table14[[#This Row],[Column2]]=2),6,0)</f>
        <v>0</v>
      </c>
      <c r="AD14" s="57">
        <f>IF(AND(Table14[[#This Row],[Column1]]=2,Table14[[#This Row],[Column3]]=3,Table14[[#This Row],[Column2]]=2),7,0)</f>
        <v>0</v>
      </c>
      <c r="AE14" s="57">
        <f>IF(AND(Table14[[#This Row],[Column1]]=3,Table14[[#This Row],[Column3]]=1),8,0)</f>
        <v>0</v>
      </c>
      <c r="AF14" s="57">
        <f>IF(AND(Table14[[#This Row],[Column1]]=3,Table14[[#This Row],[Column3]]=2),9,0)</f>
        <v>0</v>
      </c>
      <c r="AG14" s="57">
        <f>IF(AND(Table14[[#This Row],[Column1]]=3,Table14[[#This Row],[Column3]]=3),10,0)</f>
        <v>0</v>
      </c>
      <c r="AH14" s="57">
        <f>IF(AND(Table14[[#This Row],[Column1]]=4,Table14[[#This Row],[Column3]]=1),11,0)</f>
        <v>0</v>
      </c>
      <c r="AI14" s="57">
        <f>IF(AND(Table14[[#This Row],[Column1]]=4,Table14[[#This Row],[Column3]]=2),12,0)</f>
        <v>0</v>
      </c>
      <c r="AJ14" s="57">
        <f>IF(AND(Table14[[#This Row],[Column1]]=4,Table14[[#This Row],[Column3]]=3),13,0)</f>
        <v>0</v>
      </c>
      <c r="AK14" s="57">
        <f>IF(AND(Table14[[#This Row],[Column1]]=5,Table14[[#This Row],[Column3]]=1),14,0)</f>
        <v>0</v>
      </c>
      <c r="AL14" s="57">
        <f>IF(AND(Table14[[#This Row],[Column1]]=5,Table14[[#This Row],[Column3]]=2),15,0)</f>
        <v>0</v>
      </c>
      <c r="AM14" s="57">
        <f>IF(AND(Table14[[#This Row],[Column1]]=5,Table14[[#This Row],[Column3]]=3),16,0)</f>
        <v>0</v>
      </c>
      <c r="AN14" s="57">
        <f>IF(AND(Table14[[#This Row],[Column1]]=6,Table14[[#This Row],[Column3]]=1),17,0)</f>
        <v>0</v>
      </c>
      <c r="AO14" s="57">
        <f>IF(AND(Table14[[#This Row],[Column1]]=6,Table14[[#This Row],[Column3]]=2),18,0)</f>
        <v>0</v>
      </c>
      <c r="AP14" s="57">
        <f>IF(AND(Table14[[#This Row],[Column1]]=6,Table14[[#This Row],[Column3]]=3),19,0)</f>
        <v>0</v>
      </c>
      <c r="AQ14" s="57">
        <f>IF(AND(Table14[[#This Row],[Column1]]=7,Table14[[#This Row],[Column3]]=1),20,0)</f>
        <v>0</v>
      </c>
      <c r="AR14" s="57">
        <f>IF(AND(Table14[[#This Row],[Column1]]=7,Table14[[#This Row],[Column3]]=2),21,0)</f>
        <v>0</v>
      </c>
      <c r="AS14" s="57">
        <f>IF(AND(Table14[[#This Row],[Column1]]=7,Table14[[#This Row],[Column3]]=3),22,0)</f>
        <v>0</v>
      </c>
      <c r="AT14" s="57">
        <f>IF(AND(Table14[[#This Row],[Column1]]=8,Table14[[#This Row],[Column3]]=1),23,0)</f>
        <v>0</v>
      </c>
      <c r="AU14" s="57">
        <f>IF(AND(Table14[[#This Row],[Column1]]=8,Table14[[#This Row],[Column3]]=2),24,0)</f>
        <v>0</v>
      </c>
      <c r="AV14" s="57">
        <f>IF(AND(Table14[[#This Row],[Column1]]=8,Table14[[#This Row],[Column3]]=3),25,0)</f>
        <v>0</v>
      </c>
      <c r="AW14" s="57">
        <f>SUM(Table14[[#This Row],[Laden LNG]:[Idle HFO]])</f>
        <v>0</v>
      </c>
      <c r="AX14" s="57">
        <f>IF(AND(Table14[[#This Row],[Reliq]]=1,Table14[[#This Row],[Column3]]=1),26,0)</f>
        <v>0</v>
      </c>
      <c r="AY14" s="57">
        <f>IF(AND(Table14[[#This Row],[Reliq]]=1,Table14[[#This Row],[Column3]]=2),27,0)</f>
        <v>0</v>
      </c>
      <c r="AZ14" s="57">
        <f>IF(AND(Table14[[#This Row],[Reliq]]=1,Table14[[#This Row],[Column3]]=3),28,0)</f>
        <v>0</v>
      </c>
      <c r="BA14" s="57">
        <f>SUM(Table14[[#This Row],[Cooling LNG]:[Cooling HFO]])</f>
        <v>0</v>
      </c>
      <c r="BB14" s="57">
        <f t="shared" si="7"/>
        <v>3</v>
      </c>
    </row>
    <row r="15" spans="1:54" ht="20.100000000000001" customHeight="1" x14ac:dyDescent="0.2">
      <c r="A15" s="122">
        <v>11</v>
      </c>
      <c r="B15" s="103" t="str">
        <f t="shared" si="8"/>
        <v/>
      </c>
      <c r="C15" s="104" t="str">
        <f t="shared" si="9"/>
        <v/>
      </c>
      <c r="D15" s="117" t="s">
        <v>145</v>
      </c>
      <c r="E15" s="45"/>
      <c r="F15" s="126" t="str">
        <f t="shared" si="0"/>
        <v/>
      </c>
      <c r="G15" s="44"/>
      <c r="H15" s="45"/>
      <c r="I15" s="45"/>
      <c r="J15" s="45"/>
      <c r="K15" s="45"/>
      <c r="L15" s="81"/>
      <c r="M15" s="95">
        <f t="shared" si="10"/>
        <v>0</v>
      </c>
      <c r="N15" s="96">
        <f t="shared" si="1"/>
        <v>0</v>
      </c>
      <c r="O15" s="94">
        <f t="shared" si="2"/>
        <v>0</v>
      </c>
      <c r="P15" s="91"/>
      <c r="Q15" s="57"/>
      <c r="R15" s="57">
        <f t="shared" si="3"/>
        <v>3</v>
      </c>
      <c r="S15" s="57"/>
      <c r="T15" s="57">
        <f t="shared" si="4"/>
        <v>1</v>
      </c>
      <c r="U15" s="57"/>
      <c r="V15" s="57">
        <f t="shared" si="5"/>
        <v>3</v>
      </c>
      <c r="W15" s="57"/>
      <c r="X15" s="57">
        <f t="shared" si="6"/>
        <v>4</v>
      </c>
      <c r="Y15" s="57">
        <f>IF(AND(Table14[[#This Row],[Column1]]=2,Table14[[#This Row],[Column3]]=1,Table14[[#This Row],[Column2]]=1),2,0)</f>
        <v>0</v>
      </c>
      <c r="Z15" s="57">
        <f>IF(AND(Table14[[#This Row],[Column1]]=2,Table14[[#This Row],[Column3]]=2,Table14[[#This Row],[Column2]]=1),3,0)</f>
        <v>0</v>
      </c>
      <c r="AA15" s="57">
        <f>IF(AND(Table14[[#This Row],[Column1]]=2,Table14[[#This Row],[Column3]]=3,Table14[[#This Row],[Column2]]=1),4,0)</f>
        <v>0</v>
      </c>
      <c r="AB15" s="57">
        <f>IF(AND(Table14[[#This Row],[Column1]]=2,Table14[[#This Row],[Column3]]=1,Table14[[#This Row],[Column2]]=2),5,0)</f>
        <v>0</v>
      </c>
      <c r="AC15" s="57">
        <f>IF(AND(Table14[[#This Row],[Column1]]=2,Table14[[#This Row],[Column3]]=2,Table14[[#This Row],[Column2]]=2),6,0)</f>
        <v>0</v>
      </c>
      <c r="AD15" s="57">
        <f>IF(AND(Table14[[#This Row],[Column1]]=2,Table14[[#This Row],[Column3]]=3,Table14[[#This Row],[Column2]]=2),7,0)</f>
        <v>0</v>
      </c>
      <c r="AE15" s="57">
        <f>IF(AND(Table14[[#This Row],[Column1]]=3,Table14[[#This Row],[Column3]]=1),8,0)</f>
        <v>0</v>
      </c>
      <c r="AF15" s="57">
        <f>IF(AND(Table14[[#This Row],[Column1]]=3,Table14[[#This Row],[Column3]]=2),9,0)</f>
        <v>0</v>
      </c>
      <c r="AG15" s="57">
        <f>IF(AND(Table14[[#This Row],[Column1]]=3,Table14[[#This Row],[Column3]]=3),10,0)</f>
        <v>0</v>
      </c>
      <c r="AH15" s="57">
        <f>IF(AND(Table14[[#This Row],[Column1]]=4,Table14[[#This Row],[Column3]]=1),11,0)</f>
        <v>0</v>
      </c>
      <c r="AI15" s="57">
        <f>IF(AND(Table14[[#This Row],[Column1]]=4,Table14[[#This Row],[Column3]]=2),12,0)</f>
        <v>0</v>
      </c>
      <c r="AJ15" s="57">
        <f>IF(AND(Table14[[#This Row],[Column1]]=4,Table14[[#This Row],[Column3]]=3),13,0)</f>
        <v>0</v>
      </c>
      <c r="AK15" s="57">
        <f>IF(AND(Table14[[#This Row],[Column1]]=5,Table14[[#This Row],[Column3]]=1),14,0)</f>
        <v>0</v>
      </c>
      <c r="AL15" s="57">
        <f>IF(AND(Table14[[#This Row],[Column1]]=5,Table14[[#This Row],[Column3]]=2),15,0)</f>
        <v>0</v>
      </c>
      <c r="AM15" s="57">
        <f>IF(AND(Table14[[#This Row],[Column1]]=5,Table14[[#This Row],[Column3]]=3),16,0)</f>
        <v>0</v>
      </c>
      <c r="AN15" s="57">
        <f>IF(AND(Table14[[#This Row],[Column1]]=6,Table14[[#This Row],[Column3]]=1),17,0)</f>
        <v>0</v>
      </c>
      <c r="AO15" s="57">
        <f>IF(AND(Table14[[#This Row],[Column1]]=6,Table14[[#This Row],[Column3]]=2),18,0)</f>
        <v>0</v>
      </c>
      <c r="AP15" s="57">
        <f>IF(AND(Table14[[#This Row],[Column1]]=6,Table14[[#This Row],[Column3]]=3),19,0)</f>
        <v>0</v>
      </c>
      <c r="AQ15" s="57">
        <f>IF(AND(Table14[[#This Row],[Column1]]=7,Table14[[#This Row],[Column3]]=1),20,0)</f>
        <v>0</v>
      </c>
      <c r="AR15" s="57">
        <f>IF(AND(Table14[[#This Row],[Column1]]=7,Table14[[#This Row],[Column3]]=2),21,0)</f>
        <v>0</v>
      </c>
      <c r="AS15" s="57">
        <f>IF(AND(Table14[[#This Row],[Column1]]=7,Table14[[#This Row],[Column3]]=3),22,0)</f>
        <v>0</v>
      </c>
      <c r="AT15" s="57">
        <f>IF(AND(Table14[[#This Row],[Column1]]=8,Table14[[#This Row],[Column3]]=1),23,0)</f>
        <v>0</v>
      </c>
      <c r="AU15" s="57">
        <f>IF(AND(Table14[[#This Row],[Column1]]=8,Table14[[#This Row],[Column3]]=2),24,0)</f>
        <v>0</v>
      </c>
      <c r="AV15" s="57">
        <f>IF(AND(Table14[[#This Row],[Column1]]=8,Table14[[#This Row],[Column3]]=3),25,0)</f>
        <v>0</v>
      </c>
      <c r="AW15" s="57">
        <f>SUM(Table14[[#This Row],[Laden LNG]:[Idle HFO]])</f>
        <v>0</v>
      </c>
      <c r="AX15" s="57">
        <f>IF(AND(Table14[[#This Row],[Reliq]]=1,Table14[[#This Row],[Column3]]=1),26,0)</f>
        <v>0</v>
      </c>
      <c r="AY15" s="57">
        <f>IF(AND(Table14[[#This Row],[Reliq]]=1,Table14[[#This Row],[Column3]]=2),27,0)</f>
        <v>0</v>
      </c>
      <c r="AZ15" s="57">
        <f>IF(AND(Table14[[#This Row],[Reliq]]=1,Table14[[#This Row],[Column3]]=3),28,0)</f>
        <v>0</v>
      </c>
      <c r="BA15" s="57">
        <f>SUM(Table14[[#This Row],[Cooling LNG]:[Cooling HFO]])</f>
        <v>0</v>
      </c>
      <c r="BB15" s="57">
        <f t="shared" si="7"/>
        <v>3</v>
      </c>
    </row>
    <row r="16" spans="1:54" ht="20.100000000000001" customHeight="1" x14ac:dyDescent="0.2">
      <c r="A16" s="122">
        <v>12</v>
      </c>
      <c r="B16" s="103" t="str">
        <f t="shared" si="8"/>
        <v/>
      </c>
      <c r="C16" s="104" t="str">
        <f t="shared" si="9"/>
        <v/>
      </c>
      <c r="D16" s="117" t="s">
        <v>145</v>
      </c>
      <c r="E16" s="45"/>
      <c r="F16" s="126" t="str">
        <f t="shared" si="0"/>
        <v/>
      </c>
      <c r="G16" s="44"/>
      <c r="H16" s="45"/>
      <c r="I16" s="45"/>
      <c r="J16" s="45"/>
      <c r="K16" s="45"/>
      <c r="L16" s="81"/>
      <c r="M16" s="95">
        <f t="shared" si="10"/>
        <v>0</v>
      </c>
      <c r="N16" s="96">
        <f t="shared" si="1"/>
        <v>0</v>
      </c>
      <c r="O16" s="97">
        <f t="shared" si="2"/>
        <v>0</v>
      </c>
      <c r="P16" s="98"/>
      <c r="Q16" s="57"/>
      <c r="R16" s="57">
        <f t="shared" si="3"/>
        <v>3</v>
      </c>
      <c r="S16" s="57"/>
      <c r="T16" s="57">
        <f t="shared" si="4"/>
        <v>1</v>
      </c>
      <c r="U16" s="57"/>
      <c r="V16" s="57">
        <f t="shared" si="5"/>
        <v>3</v>
      </c>
      <c r="W16" s="57"/>
      <c r="X16" s="57">
        <f t="shared" si="6"/>
        <v>4</v>
      </c>
      <c r="Y16" s="57">
        <f>IF(AND(Table14[[#This Row],[Column1]]=2,Table14[[#This Row],[Column3]]=1,Table14[[#This Row],[Column2]]=1),2,0)</f>
        <v>0</v>
      </c>
      <c r="Z16" s="57">
        <f>IF(AND(Table14[[#This Row],[Column1]]=2,Table14[[#This Row],[Column3]]=2,Table14[[#This Row],[Column2]]=1),3,0)</f>
        <v>0</v>
      </c>
      <c r="AA16" s="57">
        <f>IF(AND(Table14[[#This Row],[Column1]]=2,Table14[[#This Row],[Column3]]=3,Table14[[#This Row],[Column2]]=1),4,0)</f>
        <v>0</v>
      </c>
      <c r="AB16" s="57">
        <f>IF(AND(Table14[[#This Row],[Column1]]=2,Table14[[#This Row],[Column3]]=1,Table14[[#This Row],[Column2]]=2),5,0)</f>
        <v>0</v>
      </c>
      <c r="AC16" s="57">
        <f>IF(AND(Table14[[#This Row],[Column1]]=2,Table14[[#This Row],[Column3]]=2,Table14[[#This Row],[Column2]]=2),6,0)</f>
        <v>0</v>
      </c>
      <c r="AD16" s="57">
        <f>IF(AND(Table14[[#This Row],[Column1]]=2,Table14[[#This Row],[Column3]]=3,Table14[[#This Row],[Column2]]=2),7,0)</f>
        <v>0</v>
      </c>
      <c r="AE16" s="57">
        <f>IF(AND(Table14[[#This Row],[Column1]]=3,Table14[[#This Row],[Column3]]=1),8,0)</f>
        <v>0</v>
      </c>
      <c r="AF16" s="57">
        <f>IF(AND(Table14[[#This Row],[Column1]]=3,Table14[[#This Row],[Column3]]=2),9,0)</f>
        <v>0</v>
      </c>
      <c r="AG16" s="57">
        <f>IF(AND(Table14[[#This Row],[Column1]]=3,Table14[[#This Row],[Column3]]=3),10,0)</f>
        <v>0</v>
      </c>
      <c r="AH16" s="57">
        <f>IF(AND(Table14[[#This Row],[Column1]]=4,Table14[[#This Row],[Column3]]=1),11,0)</f>
        <v>0</v>
      </c>
      <c r="AI16" s="57">
        <f>IF(AND(Table14[[#This Row],[Column1]]=4,Table14[[#This Row],[Column3]]=2),12,0)</f>
        <v>0</v>
      </c>
      <c r="AJ16" s="57">
        <f>IF(AND(Table14[[#This Row],[Column1]]=4,Table14[[#This Row],[Column3]]=3),13,0)</f>
        <v>0</v>
      </c>
      <c r="AK16" s="57">
        <f>IF(AND(Table14[[#This Row],[Column1]]=5,Table14[[#This Row],[Column3]]=1),14,0)</f>
        <v>0</v>
      </c>
      <c r="AL16" s="57">
        <f>IF(AND(Table14[[#This Row],[Column1]]=5,Table14[[#This Row],[Column3]]=2),15,0)</f>
        <v>0</v>
      </c>
      <c r="AM16" s="57">
        <f>IF(AND(Table14[[#This Row],[Column1]]=5,Table14[[#This Row],[Column3]]=3),16,0)</f>
        <v>0</v>
      </c>
      <c r="AN16" s="57">
        <f>IF(AND(Table14[[#This Row],[Column1]]=6,Table14[[#This Row],[Column3]]=1),17,0)</f>
        <v>0</v>
      </c>
      <c r="AO16" s="57">
        <f>IF(AND(Table14[[#This Row],[Column1]]=6,Table14[[#This Row],[Column3]]=2),18,0)</f>
        <v>0</v>
      </c>
      <c r="AP16" s="57">
        <f>IF(AND(Table14[[#This Row],[Column1]]=6,Table14[[#This Row],[Column3]]=3),19,0)</f>
        <v>0</v>
      </c>
      <c r="AQ16" s="57">
        <f>IF(AND(Table14[[#This Row],[Column1]]=7,Table14[[#This Row],[Column3]]=1),20,0)</f>
        <v>0</v>
      </c>
      <c r="AR16" s="57">
        <f>IF(AND(Table14[[#This Row],[Column1]]=7,Table14[[#This Row],[Column3]]=2),21,0)</f>
        <v>0</v>
      </c>
      <c r="AS16" s="57">
        <f>IF(AND(Table14[[#This Row],[Column1]]=7,Table14[[#This Row],[Column3]]=3),22,0)</f>
        <v>0</v>
      </c>
      <c r="AT16" s="57">
        <f>IF(AND(Table14[[#This Row],[Column1]]=8,Table14[[#This Row],[Column3]]=1),23,0)</f>
        <v>0</v>
      </c>
      <c r="AU16" s="57">
        <f>IF(AND(Table14[[#This Row],[Column1]]=8,Table14[[#This Row],[Column3]]=2),24,0)</f>
        <v>0</v>
      </c>
      <c r="AV16" s="57">
        <f>IF(AND(Table14[[#This Row],[Column1]]=8,Table14[[#This Row],[Column3]]=3),25,0)</f>
        <v>0</v>
      </c>
      <c r="AW16" s="57">
        <f>SUM(Table14[[#This Row],[Laden LNG]:[Idle HFO]])</f>
        <v>0</v>
      </c>
      <c r="AX16" s="57">
        <f>IF(AND(Table14[[#This Row],[Reliq]]=1,Table14[[#This Row],[Column3]]=1),26,0)</f>
        <v>0</v>
      </c>
      <c r="AY16" s="57">
        <f>IF(AND(Table14[[#This Row],[Reliq]]=1,Table14[[#This Row],[Column3]]=2),27,0)</f>
        <v>0</v>
      </c>
      <c r="AZ16" s="57">
        <f>IF(AND(Table14[[#This Row],[Reliq]]=1,Table14[[#This Row],[Column3]]=3),28,0)</f>
        <v>0</v>
      </c>
      <c r="BA16" s="57">
        <f>SUM(Table14[[#This Row],[Cooling LNG]:[Cooling HFO]])</f>
        <v>0</v>
      </c>
      <c r="BB16" s="57">
        <f t="shared" si="7"/>
        <v>3</v>
      </c>
    </row>
    <row r="17" spans="1:54" ht="20.100000000000001" customHeight="1" x14ac:dyDescent="0.2">
      <c r="A17" s="122">
        <v>13</v>
      </c>
      <c r="B17" s="103" t="str">
        <f t="shared" si="8"/>
        <v/>
      </c>
      <c r="C17" s="104" t="str">
        <f t="shared" si="9"/>
        <v/>
      </c>
      <c r="D17" s="117" t="s">
        <v>145</v>
      </c>
      <c r="E17" s="45"/>
      <c r="F17" s="126" t="str">
        <f t="shared" si="0"/>
        <v/>
      </c>
      <c r="G17" s="44"/>
      <c r="H17" s="45"/>
      <c r="I17" s="45"/>
      <c r="J17" s="45"/>
      <c r="K17" s="45"/>
      <c r="L17" s="81"/>
      <c r="M17" s="95">
        <f t="shared" si="10"/>
        <v>0</v>
      </c>
      <c r="N17" s="96">
        <f t="shared" si="1"/>
        <v>0</v>
      </c>
      <c r="O17" s="97">
        <f t="shared" si="2"/>
        <v>0</v>
      </c>
      <c r="P17" s="98"/>
      <c r="Q17" s="57"/>
      <c r="R17" s="57">
        <f t="shared" si="3"/>
        <v>3</v>
      </c>
      <c r="S17" s="57"/>
      <c r="T17" s="57">
        <f t="shared" si="4"/>
        <v>1</v>
      </c>
      <c r="U17" s="57"/>
      <c r="V17" s="57">
        <f t="shared" si="5"/>
        <v>3</v>
      </c>
      <c r="W17" s="57"/>
      <c r="X17" s="57">
        <f t="shared" si="6"/>
        <v>4</v>
      </c>
      <c r="Y17" s="57">
        <f>IF(AND(Table14[[#This Row],[Column1]]=2,Table14[[#This Row],[Column3]]=1,Table14[[#This Row],[Column2]]=1),2,0)</f>
        <v>0</v>
      </c>
      <c r="Z17" s="57">
        <f>IF(AND(Table14[[#This Row],[Column1]]=2,Table14[[#This Row],[Column3]]=2,Table14[[#This Row],[Column2]]=1),3,0)</f>
        <v>0</v>
      </c>
      <c r="AA17" s="57">
        <f>IF(AND(Table14[[#This Row],[Column1]]=2,Table14[[#This Row],[Column3]]=3,Table14[[#This Row],[Column2]]=1),4,0)</f>
        <v>0</v>
      </c>
      <c r="AB17" s="57">
        <f>IF(AND(Table14[[#This Row],[Column1]]=2,Table14[[#This Row],[Column3]]=1,Table14[[#This Row],[Column2]]=2),5,0)</f>
        <v>0</v>
      </c>
      <c r="AC17" s="57">
        <f>IF(AND(Table14[[#This Row],[Column1]]=2,Table14[[#This Row],[Column3]]=2,Table14[[#This Row],[Column2]]=2),6,0)</f>
        <v>0</v>
      </c>
      <c r="AD17" s="57">
        <f>IF(AND(Table14[[#This Row],[Column1]]=2,Table14[[#This Row],[Column3]]=3,Table14[[#This Row],[Column2]]=2),7,0)</f>
        <v>0</v>
      </c>
      <c r="AE17" s="57">
        <f>IF(AND(Table14[[#This Row],[Column1]]=3,Table14[[#This Row],[Column3]]=1),8,0)</f>
        <v>0</v>
      </c>
      <c r="AF17" s="57">
        <f>IF(AND(Table14[[#This Row],[Column1]]=3,Table14[[#This Row],[Column3]]=2),9,0)</f>
        <v>0</v>
      </c>
      <c r="AG17" s="57">
        <f>IF(AND(Table14[[#This Row],[Column1]]=3,Table14[[#This Row],[Column3]]=3),10,0)</f>
        <v>0</v>
      </c>
      <c r="AH17" s="57">
        <f>IF(AND(Table14[[#This Row],[Column1]]=4,Table14[[#This Row],[Column3]]=1),11,0)</f>
        <v>0</v>
      </c>
      <c r="AI17" s="57">
        <f>IF(AND(Table14[[#This Row],[Column1]]=4,Table14[[#This Row],[Column3]]=2),12,0)</f>
        <v>0</v>
      </c>
      <c r="AJ17" s="57">
        <f>IF(AND(Table14[[#This Row],[Column1]]=4,Table14[[#This Row],[Column3]]=3),13,0)</f>
        <v>0</v>
      </c>
      <c r="AK17" s="57">
        <f>IF(AND(Table14[[#This Row],[Column1]]=5,Table14[[#This Row],[Column3]]=1),14,0)</f>
        <v>0</v>
      </c>
      <c r="AL17" s="57">
        <f>IF(AND(Table14[[#This Row],[Column1]]=5,Table14[[#This Row],[Column3]]=2),15,0)</f>
        <v>0</v>
      </c>
      <c r="AM17" s="57">
        <f>IF(AND(Table14[[#This Row],[Column1]]=5,Table14[[#This Row],[Column3]]=3),16,0)</f>
        <v>0</v>
      </c>
      <c r="AN17" s="57">
        <f>IF(AND(Table14[[#This Row],[Column1]]=6,Table14[[#This Row],[Column3]]=1),17,0)</f>
        <v>0</v>
      </c>
      <c r="AO17" s="57">
        <f>IF(AND(Table14[[#This Row],[Column1]]=6,Table14[[#This Row],[Column3]]=2),18,0)</f>
        <v>0</v>
      </c>
      <c r="AP17" s="57">
        <f>IF(AND(Table14[[#This Row],[Column1]]=6,Table14[[#This Row],[Column3]]=3),19,0)</f>
        <v>0</v>
      </c>
      <c r="AQ17" s="57">
        <f>IF(AND(Table14[[#This Row],[Column1]]=7,Table14[[#This Row],[Column3]]=1),20,0)</f>
        <v>0</v>
      </c>
      <c r="AR17" s="57">
        <f>IF(AND(Table14[[#This Row],[Column1]]=7,Table14[[#This Row],[Column3]]=2),21,0)</f>
        <v>0</v>
      </c>
      <c r="AS17" s="57">
        <f>IF(AND(Table14[[#This Row],[Column1]]=7,Table14[[#This Row],[Column3]]=3),22,0)</f>
        <v>0</v>
      </c>
      <c r="AT17" s="57">
        <f>IF(AND(Table14[[#This Row],[Column1]]=8,Table14[[#This Row],[Column3]]=1),23,0)</f>
        <v>0</v>
      </c>
      <c r="AU17" s="57">
        <f>IF(AND(Table14[[#This Row],[Column1]]=8,Table14[[#This Row],[Column3]]=2),24,0)</f>
        <v>0</v>
      </c>
      <c r="AV17" s="57">
        <f>IF(AND(Table14[[#This Row],[Column1]]=8,Table14[[#This Row],[Column3]]=3),25,0)</f>
        <v>0</v>
      </c>
      <c r="AW17" s="57">
        <f>SUM(Table14[[#This Row],[Laden LNG]:[Idle HFO]])</f>
        <v>0</v>
      </c>
      <c r="AX17" s="57">
        <f>IF(AND(Table14[[#This Row],[Reliq]]=1,Table14[[#This Row],[Column3]]=1),26,0)</f>
        <v>0</v>
      </c>
      <c r="AY17" s="57">
        <f>IF(AND(Table14[[#This Row],[Reliq]]=1,Table14[[#This Row],[Column3]]=2),27,0)</f>
        <v>0</v>
      </c>
      <c r="AZ17" s="57">
        <f>IF(AND(Table14[[#This Row],[Reliq]]=1,Table14[[#This Row],[Column3]]=3),28,0)</f>
        <v>0</v>
      </c>
      <c r="BA17" s="57">
        <f>SUM(Table14[[#This Row],[Cooling LNG]:[Cooling HFO]])</f>
        <v>0</v>
      </c>
      <c r="BB17" s="57">
        <f t="shared" si="7"/>
        <v>3</v>
      </c>
    </row>
    <row r="18" spans="1:54" ht="20.100000000000001" customHeight="1" x14ac:dyDescent="0.2">
      <c r="A18" s="122">
        <v>14</v>
      </c>
      <c r="B18" s="103" t="str">
        <f t="shared" si="8"/>
        <v/>
      </c>
      <c r="C18" s="104" t="str">
        <f t="shared" si="9"/>
        <v/>
      </c>
      <c r="D18" s="117" t="s">
        <v>145</v>
      </c>
      <c r="E18" s="45"/>
      <c r="F18" s="126" t="str">
        <f t="shared" si="0"/>
        <v/>
      </c>
      <c r="G18" s="44"/>
      <c r="H18" s="45"/>
      <c r="I18" s="45"/>
      <c r="J18" s="45"/>
      <c r="K18" s="45"/>
      <c r="L18" s="81"/>
      <c r="M18" s="95">
        <f t="shared" si="10"/>
        <v>0</v>
      </c>
      <c r="N18" s="96">
        <f t="shared" si="1"/>
        <v>0</v>
      </c>
      <c r="O18" s="97">
        <f t="shared" si="2"/>
        <v>0</v>
      </c>
      <c r="P18" s="98"/>
      <c r="Q18" s="57"/>
      <c r="R18" s="57">
        <f t="shared" si="3"/>
        <v>3</v>
      </c>
      <c r="S18" s="57"/>
      <c r="T18" s="57">
        <f t="shared" si="4"/>
        <v>1</v>
      </c>
      <c r="U18" s="57"/>
      <c r="V18" s="57">
        <f t="shared" si="5"/>
        <v>3</v>
      </c>
      <c r="W18" s="57"/>
      <c r="X18" s="57">
        <f t="shared" si="6"/>
        <v>4</v>
      </c>
      <c r="Y18" s="57">
        <f>IF(AND(Table14[[#This Row],[Column1]]=2,Table14[[#This Row],[Column3]]=1,Table14[[#This Row],[Column2]]=1),2,0)</f>
        <v>0</v>
      </c>
      <c r="Z18" s="57">
        <f>IF(AND(Table14[[#This Row],[Column1]]=2,Table14[[#This Row],[Column3]]=2,Table14[[#This Row],[Column2]]=1),3,0)</f>
        <v>0</v>
      </c>
      <c r="AA18" s="57">
        <f>IF(AND(Table14[[#This Row],[Column1]]=2,Table14[[#This Row],[Column3]]=3,Table14[[#This Row],[Column2]]=1),4,0)</f>
        <v>0</v>
      </c>
      <c r="AB18" s="57">
        <f>IF(AND(Table14[[#This Row],[Column1]]=2,Table14[[#This Row],[Column3]]=1,Table14[[#This Row],[Column2]]=2),5,0)</f>
        <v>0</v>
      </c>
      <c r="AC18" s="57">
        <f>IF(AND(Table14[[#This Row],[Column1]]=2,Table14[[#This Row],[Column3]]=2,Table14[[#This Row],[Column2]]=2),6,0)</f>
        <v>0</v>
      </c>
      <c r="AD18" s="57">
        <f>IF(AND(Table14[[#This Row],[Column1]]=2,Table14[[#This Row],[Column3]]=3,Table14[[#This Row],[Column2]]=2),7,0)</f>
        <v>0</v>
      </c>
      <c r="AE18" s="57">
        <f>IF(AND(Table14[[#This Row],[Column1]]=3,Table14[[#This Row],[Column3]]=1),8,0)</f>
        <v>0</v>
      </c>
      <c r="AF18" s="57">
        <f>IF(AND(Table14[[#This Row],[Column1]]=3,Table14[[#This Row],[Column3]]=2),9,0)</f>
        <v>0</v>
      </c>
      <c r="AG18" s="57">
        <f>IF(AND(Table14[[#This Row],[Column1]]=3,Table14[[#This Row],[Column3]]=3),10,0)</f>
        <v>0</v>
      </c>
      <c r="AH18" s="57">
        <f>IF(AND(Table14[[#This Row],[Column1]]=4,Table14[[#This Row],[Column3]]=1),11,0)</f>
        <v>0</v>
      </c>
      <c r="AI18" s="57">
        <f>IF(AND(Table14[[#This Row],[Column1]]=4,Table14[[#This Row],[Column3]]=2),12,0)</f>
        <v>0</v>
      </c>
      <c r="AJ18" s="57">
        <f>IF(AND(Table14[[#This Row],[Column1]]=4,Table14[[#This Row],[Column3]]=3),13,0)</f>
        <v>0</v>
      </c>
      <c r="AK18" s="57">
        <f>IF(AND(Table14[[#This Row],[Column1]]=5,Table14[[#This Row],[Column3]]=1),14,0)</f>
        <v>0</v>
      </c>
      <c r="AL18" s="57">
        <f>IF(AND(Table14[[#This Row],[Column1]]=5,Table14[[#This Row],[Column3]]=2),15,0)</f>
        <v>0</v>
      </c>
      <c r="AM18" s="57">
        <f>IF(AND(Table14[[#This Row],[Column1]]=5,Table14[[#This Row],[Column3]]=3),16,0)</f>
        <v>0</v>
      </c>
      <c r="AN18" s="57">
        <f>IF(AND(Table14[[#This Row],[Column1]]=6,Table14[[#This Row],[Column3]]=1),17,0)</f>
        <v>0</v>
      </c>
      <c r="AO18" s="57">
        <f>IF(AND(Table14[[#This Row],[Column1]]=6,Table14[[#This Row],[Column3]]=2),18,0)</f>
        <v>0</v>
      </c>
      <c r="AP18" s="57">
        <f>IF(AND(Table14[[#This Row],[Column1]]=6,Table14[[#This Row],[Column3]]=3),19,0)</f>
        <v>0</v>
      </c>
      <c r="AQ18" s="57">
        <f>IF(AND(Table14[[#This Row],[Column1]]=7,Table14[[#This Row],[Column3]]=1),20,0)</f>
        <v>0</v>
      </c>
      <c r="AR18" s="57">
        <f>IF(AND(Table14[[#This Row],[Column1]]=7,Table14[[#This Row],[Column3]]=2),21,0)</f>
        <v>0</v>
      </c>
      <c r="AS18" s="57">
        <f>IF(AND(Table14[[#This Row],[Column1]]=7,Table14[[#This Row],[Column3]]=3),22,0)</f>
        <v>0</v>
      </c>
      <c r="AT18" s="57">
        <f>IF(AND(Table14[[#This Row],[Column1]]=8,Table14[[#This Row],[Column3]]=1),23,0)</f>
        <v>0</v>
      </c>
      <c r="AU18" s="57">
        <f>IF(AND(Table14[[#This Row],[Column1]]=8,Table14[[#This Row],[Column3]]=2),24,0)</f>
        <v>0</v>
      </c>
      <c r="AV18" s="57">
        <f>IF(AND(Table14[[#This Row],[Column1]]=8,Table14[[#This Row],[Column3]]=3),25,0)</f>
        <v>0</v>
      </c>
      <c r="AW18" s="57">
        <f>SUM(Table14[[#This Row],[Laden LNG]:[Idle HFO]])</f>
        <v>0</v>
      </c>
      <c r="AX18" s="57">
        <f>IF(AND(Table14[[#This Row],[Reliq]]=1,Table14[[#This Row],[Column3]]=1),26,0)</f>
        <v>0</v>
      </c>
      <c r="AY18" s="57">
        <f>IF(AND(Table14[[#This Row],[Reliq]]=1,Table14[[#This Row],[Column3]]=2),27,0)</f>
        <v>0</v>
      </c>
      <c r="AZ18" s="57">
        <f>IF(AND(Table14[[#This Row],[Reliq]]=1,Table14[[#This Row],[Column3]]=3),28,0)</f>
        <v>0</v>
      </c>
      <c r="BA18" s="57">
        <f>SUM(Table14[[#This Row],[Cooling LNG]:[Cooling HFO]])</f>
        <v>0</v>
      </c>
      <c r="BB18" s="57">
        <f t="shared" si="7"/>
        <v>3</v>
      </c>
    </row>
    <row r="19" spans="1:54" ht="20.100000000000001" customHeight="1" x14ac:dyDescent="0.2">
      <c r="A19" s="122">
        <v>15</v>
      </c>
      <c r="B19" s="103" t="str">
        <f t="shared" si="8"/>
        <v/>
      </c>
      <c r="C19" s="104" t="str">
        <f t="shared" si="9"/>
        <v/>
      </c>
      <c r="D19" s="117" t="s">
        <v>145</v>
      </c>
      <c r="E19" s="45"/>
      <c r="F19" s="126" t="str">
        <f t="shared" si="0"/>
        <v/>
      </c>
      <c r="G19" s="44"/>
      <c r="H19" s="45"/>
      <c r="I19" s="45"/>
      <c r="J19" s="45"/>
      <c r="K19" s="45"/>
      <c r="L19" s="81"/>
      <c r="M19" s="95">
        <f t="shared" si="10"/>
        <v>0</v>
      </c>
      <c r="N19" s="96">
        <f t="shared" si="1"/>
        <v>0</v>
      </c>
      <c r="O19" s="94">
        <f t="shared" si="2"/>
        <v>0</v>
      </c>
      <c r="P19" s="91"/>
      <c r="Q19" s="57"/>
      <c r="R19" s="57">
        <f t="shared" si="3"/>
        <v>3</v>
      </c>
      <c r="S19" s="57"/>
      <c r="T19" s="57">
        <f t="shared" si="4"/>
        <v>1</v>
      </c>
      <c r="U19" s="57"/>
      <c r="V19" s="57">
        <f t="shared" si="5"/>
        <v>3</v>
      </c>
      <c r="W19" s="57"/>
      <c r="X19" s="57">
        <f t="shared" si="6"/>
        <v>4</v>
      </c>
      <c r="Y19" s="57">
        <f>IF(AND(Table14[[#This Row],[Column1]]=2,Table14[[#This Row],[Column3]]=1,Table14[[#This Row],[Column2]]=1),2,0)</f>
        <v>0</v>
      </c>
      <c r="Z19" s="57">
        <f>IF(AND(Table14[[#This Row],[Column1]]=2,Table14[[#This Row],[Column3]]=2,Table14[[#This Row],[Column2]]=1),3,0)</f>
        <v>0</v>
      </c>
      <c r="AA19" s="57">
        <f>IF(AND(Table14[[#This Row],[Column1]]=2,Table14[[#This Row],[Column3]]=3,Table14[[#This Row],[Column2]]=1),4,0)</f>
        <v>0</v>
      </c>
      <c r="AB19" s="57">
        <f>IF(AND(Table14[[#This Row],[Column1]]=2,Table14[[#This Row],[Column3]]=1,Table14[[#This Row],[Column2]]=2),5,0)</f>
        <v>0</v>
      </c>
      <c r="AC19" s="57">
        <f>IF(AND(Table14[[#This Row],[Column1]]=2,Table14[[#This Row],[Column3]]=2,Table14[[#This Row],[Column2]]=2),6,0)</f>
        <v>0</v>
      </c>
      <c r="AD19" s="57">
        <f>IF(AND(Table14[[#This Row],[Column1]]=2,Table14[[#This Row],[Column3]]=3,Table14[[#This Row],[Column2]]=2),7,0)</f>
        <v>0</v>
      </c>
      <c r="AE19" s="57">
        <f>IF(AND(Table14[[#This Row],[Column1]]=3,Table14[[#This Row],[Column3]]=1),8,0)</f>
        <v>0</v>
      </c>
      <c r="AF19" s="57">
        <f>IF(AND(Table14[[#This Row],[Column1]]=3,Table14[[#This Row],[Column3]]=2),9,0)</f>
        <v>0</v>
      </c>
      <c r="AG19" s="57">
        <f>IF(AND(Table14[[#This Row],[Column1]]=3,Table14[[#This Row],[Column3]]=3),10,0)</f>
        <v>0</v>
      </c>
      <c r="AH19" s="57">
        <f>IF(AND(Table14[[#This Row],[Column1]]=4,Table14[[#This Row],[Column3]]=1),11,0)</f>
        <v>0</v>
      </c>
      <c r="AI19" s="57">
        <f>IF(AND(Table14[[#This Row],[Column1]]=4,Table14[[#This Row],[Column3]]=2),12,0)</f>
        <v>0</v>
      </c>
      <c r="AJ19" s="57">
        <f>IF(AND(Table14[[#This Row],[Column1]]=4,Table14[[#This Row],[Column3]]=3),13,0)</f>
        <v>0</v>
      </c>
      <c r="AK19" s="57">
        <f>IF(AND(Table14[[#This Row],[Column1]]=5,Table14[[#This Row],[Column3]]=1),14,0)</f>
        <v>0</v>
      </c>
      <c r="AL19" s="57">
        <f>IF(AND(Table14[[#This Row],[Column1]]=5,Table14[[#This Row],[Column3]]=2),15,0)</f>
        <v>0</v>
      </c>
      <c r="AM19" s="57">
        <f>IF(AND(Table14[[#This Row],[Column1]]=5,Table14[[#This Row],[Column3]]=3),16,0)</f>
        <v>0</v>
      </c>
      <c r="AN19" s="57">
        <f>IF(AND(Table14[[#This Row],[Column1]]=6,Table14[[#This Row],[Column3]]=1),17,0)</f>
        <v>0</v>
      </c>
      <c r="AO19" s="57">
        <f>IF(AND(Table14[[#This Row],[Column1]]=6,Table14[[#This Row],[Column3]]=2),18,0)</f>
        <v>0</v>
      </c>
      <c r="AP19" s="57">
        <f>IF(AND(Table14[[#This Row],[Column1]]=6,Table14[[#This Row],[Column3]]=3),19,0)</f>
        <v>0</v>
      </c>
      <c r="AQ19" s="57">
        <f>IF(AND(Table14[[#This Row],[Column1]]=7,Table14[[#This Row],[Column3]]=1),20,0)</f>
        <v>0</v>
      </c>
      <c r="AR19" s="57">
        <f>IF(AND(Table14[[#This Row],[Column1]]=7,Table14[[#This Row],[Column3]]=2),21,0)</f>
        <v>0</v>
      </c>
      <c r="AS19" s="57">
        <f>IF(AND(Table14[[#This Row],[Column1]]=7,Table14[[#This Row],[Column3]]=3),22,0)</f>
        <v>0</v>
      </c>
      <c r="AT19" s="57">
        <f>IF(AND(Table14[[#This Row],[Column1]]=8,Table14[[#This Row],[Column3]]=1),23,0)</f>
        <v>0</v>
      </c>
      <c r="AU19" s="57">
        <f>IF(AND(Table14[[#This Row],[Column1]]=8,Table14[[#This Row],[Column3]]=2),24,0)</f>
        <v>0</v>
      </c>
      <c r="AV19" s="57">
        <f>IF(AND(Table14[[#This Row],[Column1]]=8,Table14[[#This Row],[Column3]]=3),25,0)</f>
        <v>0</v>
      </c>
      <c r="AW19" s="57">
        <f>SUM(Table14[[#This Row],[Laden LNG]:[Idle HFO]])</f>
        <v>0</v>
      </c>
      <c r="AX19" s="57">
        <f>IF(AND(Table14[[#This Row],[Reliq]]=1,Table14[[#This Row],[Column3]]=1),26,0)</f>
        <v>0</v>
      </c>
      <c r="AY19" s="57">
        <f>IF(AND(Table14[[#This Row],[Reliq]]=1,Table14[[#This Row],[Column3]]=2),27,0)</f>
        <v>0</v>
      </c>
      <c r="AZ19" s="57">
        <f>IF(AND(Table14[[#This Row],[Reliq]]=1,Table14[[#This Row],[Column3]]=3),28,0)</f>
        <v>0</v>
      </c>
      <c r="BA19" s="57">
        <f>SUM(Table14[[#This Row],[Cooling LNG]:[Cooling HFO]])</f>
        <v>0</v>
      </c>
      <c r="BB19" s="57">
        <f t="shared" si="7"/>
        <v>3</v>
      </c>
    </row>
    <row r="20" spans="1:54" ht="20.100000000000001" customHeight="1" x14ac:dyDescent="0.2">
      <c r="A20" s="122">
        <v>16</v>
      </c>
      <c r="B20" s="103" t="str">
        <f t="shared" si="8"/>
        <v/>
      </c>
      <c r="C20" s="104" t="str">
        <f t="shared" si="9"/>
        <v/>
      </c>
      <c r="D20" s="117" t="s">
        <v>145</v>
      </c>
      <c r="E20" s="45"/>
      <c r="F20" s="126" t="str">
        <f t="shared" si="0"/>
        <v/>
      </c>
      <c r="G20" s="44"/>
      <c r="H20" s="45"/>
      <c r="I20" s="45"/>
      <c r="J20" s="45"/>
      <c r="K20" s="45"/>
      <c r="L20" s="81"/>
      <c r="M20" s="95">
        <f t="shared" si="10"/>
        <v>0</v>
      </c>
      <c r="N20" s="96">
        <f t="shared" si="1"/>
        <v>0</v>
      </c>
      <c r="O20" s="94">
        <f t="shared" si="2"/>
        <v>0</v>
      </c>
      <c r="P20" s="91"/>
      <c r="Q20" s="57"/>
      <c r="R20" s="57">
        <f t="shared" si="3"/>
        <v>3</v>
      </c>
      <c r="S20" s="57"/>
      <c r="T20" s="57">
        <f t="shared" si="4"/>
        <v>1</v>
      </c>
      <c r="U20" s="57"/>
      <c r="V20" s="57">
        <f t="shared" si="5"/>
        <v>3</v>
      </c>
      <c r="W20" s="57"/>
      <c r="X20" s="57">
        <f t="shared" si="6"/>
        <v>4</v>
      </c>
      <c r="Y20" s="57">
        <f>IF(AND(Table14[[#This Row],[Column1]]=2,Table14[[#This Row],[Column3]]=1,Table14[[#This Row],[Column2]]=1),2,0)</f>
        <v>0</v>
      </c>
      <c r="Z20" s="57">
        <f>IF(AND(Table14[[#This Row],[Column1]]=2,Table14[[#This Row],[Column3]]=2,Table14[[#This Row],[Column2]]=1),3,0)</f>
        <v>0</v>
      </c>
      <c r="AA20" s="57">
        <f>IF(AND(Table14[[#This Row],[Column1]]=2,Table14[[#This Row],[Column3]]=3,Table14[[#This Row],[Column2]]=1),4,0)</f>
        <v>0</v>
      </c>
      <c r="AB20" s="57">
        <f>IF(AND(Table14[[#This Row],[Column1]]=2,Table14[[#This Row],[Column3]]=1,Table14[[#This Row],[Column2]]=2),5,0)</f>
        <v>0</v>
      </c>
      <c r="AC20" s="57">
        <f>IF(AND(Table14[[#This Row],[Column1]]=2,Table14[[#This Row],[Column3]]=2,Table14[[#This Row],[Column2]]=2),6,0)</f>
        <v>0</v>
      </c>
      <c r="AD20" s="57">
        <f>IF(AND(Table14[[#This Row],[Column1]]=2,Table14[[#This Row],[Column3]]=3,Table14[[#This Row],[Column2]]=2),7,0)</f>
        <v>0</v>
      </c>
      <c r="AE20" s="57">
        <f>IF(AND(Table14[[#This Row],[Column1]]=3,Table14[[#This Row],[Column3]]=1),8,0)</f>
        <v>0</v>
      </c>
      <c r="AF20" s="57">
        <f>IF(AND(Table14[[#This Row],[Column1]]=3,Table14[[#This Row],[Column3]]=2),9,0)</f>
        <v>0</v>
      </c>
      <c r="AG20" s="57">
        <f>IF(AND(Table14[[#This Row],[Column1]]=3,Table14[[#This Row],[Column3]]=3),10,0)</f>
        <v>0</v>
      </c>
      <c r="AH20" s="57">
        <f>IF(AND(Table14[[#This Row],[Column1]]=4,Table14[[#This Row],[Column3]]=1),11,0)</f>
        <v>0</v>
      </c>
      <c r="AI20" s="57">
        <f>IF(AND(Table14[[#This Row],[Column1]]=4,Table14[[#This Row],[Column3]]=2),12,0)</f>
        <v>0</v>
      </c>
      <c r="AJ20" s="57">
        <f>IF(AND(Table14[[#This Row],[Column1]]=4,Table14[[#This Row],[Column3]]=3),13,0)</f>
        <v>0</v>
      </c>
      <c r="AK20" s="57">
        <f>IF(AND(Table14[[#This Row],[Column1]]=5,Table14[[#This Row],[Column3]]=1),14,0)</f>
        <v>0</v>
      </c>
      <c r="AL20" s="57">
        <f>IF(AND(Table14[[#This Row],[Column1]]=5,Table14[[#This Row],[Column3]]=2),15,0)</f>
        <v>0</v>
      </c>
      <c r="AM20" s="57">
        <f>IF(AND(Table14[[#This Row],[Column1]]=5,Table14[[#This Row],[Column3]]=3),16,0)</f>
        <v>0</v>
      </c>
      <c r="AN20" s="57">
        <f>IF(AND(Table14[[#This Row],[Column1]]=6,Table14[[#This Row],[Column3]]=1),17,0)</f>
        <v>0</v>
      </c>
      <c r="AO20" s="57">
        <f>IF(AND(Table14[[#This Row],[Column1]]=6,Table14[[#This Row],[Column3]]=2),18,0)</f>
        <v>0</v>
      </c>
      <c r="AP20" s="57">
        <f>IF(AND(Table14[[#This Row],[Column1]]=6,Table14[[#This Row],[Column3]]=3),19,0)</f>
        <v>0</v>
      </c>
      <c r="AQ20" s="57">
        <f>IF(AND(Table14[[#This Row],[Column1]]=7,Table14[[#This Row],[Column3]]=1),20,0)</f>
        <v>0</v>
      </c>
      <c r="AR20" s="57">
        <f>IF(AND(Table14[[#This Row],[Column1]]=7,Table14[[#This Row],[Column3]]=2),21,0)</f>
        <v>0</v>
      </c>
      <c r="AS20" s="57">
        <f>IF(AND(Table14[[#This Row],[Column1]]=7,Table14[[#This Row],[Column3]]=3),22,0)</f>
        <v>0</v>
      </c>
      <c r="AT20" s="57">
        <f>IF(AND(Table14[[#This Row],[Column1]]=8,Table14[[#This Row],[Column3]]=1),23,0)</f>
        <v>0</v>
      </c>
      <c r="AU20" s="57">
        <f>IF(AND(Table14[[#This Row],[Column1]]=8,Table14[[#This Row],[Column3]]=2),24,0)</f>
        <v>0</v>
      </c>
      <c r="AV20" s="57">
        <f>IF(AND(Table14[[#This Row],[Column1]]=8,Table14[[#This Row],[Column3]]=3),25,0)</f>
        <v>0</v>
      </c>
      <c r="AW20" s="57">
        <f>SUM(Table14[[#This Row],[Laden LNG]:[Idle HFO]])</f>
        <v>0</v>
      </c>
      <c r="AX20" s="57">
        <f>IF(AND(Table14[[#This Row],[Reliq]]=1,Table14[[#This Row],[Column3]]=1),26,0)</f>
        <v>0</v>
      </c>
      <c r="AY20" s="57">
        <f>IF(AND(Table14[[#This Row],[Reliq]]=1,Table14[[#This Row],[Column3]]=2),27,0)</f>
        <v>0</v>
      </c>
      <c r="AZ20" s="57">
        <f>IF(AND(Table14[[#This Row],[Reliq]]=1,Table14[[#This Row],[Column3]]=3),28,0)</f>
        <v>0</v>
      </c>
      <c r="BA20" s="57">
        <f>SUM(Table14[[#This Row],[Cooling LNG]:[Cooling HFO]])</f>
        <v>0</v>
      </c>
      <c r="BB20" s="57">
        <f t="shared" si="7"/>
        <v>3</v>
      </c>
    </row>
    <row r="21" spans="1:54" s="8" customFormat="1" ht="20.100000000000001" customHeight="1" x14ac:dyDescent="0.2">
      <c r="A21" s="122">
        <v>17</v>
      </c>
      <c r="B21" s="103" t="str">
        <f t="shared" si="8"/>
        <v/>
      </c>
      <c r="C21" s="104" t="str">
        <f t="shared" si="9"/>
        <v/>
      </c>
      <c r="D21" s="117" t="s">
        <v>145</v>
      </c>
      <c r="E21" s="45"/>
      <c r="F21" s="126" t="str">
        <f t="shared" si="0"/>
        <v/>
      </c>
      <c r="G21" s="44"/>
      <c r="H21" s="45"/>
      <c r="I21" s="45"/>
      <c r="J21" s="45"/>
      <c r="K21" s="45"/>
      <c r="L21" s="81"/>
      <c r="M21" s="95">
        <f t="shared" si="10"/>
        <v>0</v>
      </c>
      <c r="N21" s="96">
        <f t="shared" si="1"/>
        <v>0</v>
      </c>
      <c r="O21" s="94">
        <f t="shared" si="2"/>
        <v>0</v>
      </c>
      <c r="P21" s="91"/>
      <c r="Q21" s="57"/>
      <c r="R21" s="57">
        <f t="shared" si="3"/>
        <v>3</v>
      </c>
      <c r="S21" s="57"/>
      <c r="T21" s="57">
        <f t="shared" si="4"/>
        <v>1</v>
      </c>
      <c r="U21" s="57"/>
      <c r="V21" s="57">
        <f t="shared" si="5"/>
        <v>3</v>
      </c>
      <c r="W21" s="57"/>
      <c r="X21" s="57">
        <f t="shared" si="6"/>
        <v>4</v>
      </c>
      <c r="Y21" s="57">
        <f>IF(AND(Table14[[#This Row],[Column1]]=2,Table14[[#This Row],[Column3]]=1,Table14[[#This Row],[Column2]]=1),2,0)</f>
        <v>0</v>
      </c>
      <c r="Z21" s="57">
        <f>IF(AND(Table14[[#This Row],[Column1]]=2,Table14[[#This Row],[Column3]]=2,Table14[[#This Row],[Column2]]=1),3,0)</f>
        <v>0</v>
      </c>
      <c r="AA21" s="57">
        <f>IF(AND(Table14[[#This Row],[Column1]]=2,Table14[[#This Row],[Column3]]=3,Table14[[#This Row],[Column2]]=1),4,0)</f>
        <v>0</v>
      </c>
      <c r="AB21" s="57">
        <f>IF(AND(Table14[[#This Row],[Column1]]=2,Table14[[#This Row],[Column3]]=1,Table14[[#This Row],[Column2]]=2),5,0)</f>
        <v>0</v>
      </c>
      <c r="AC21" s="57">
        <f>IF(AND(Table14[[#This Row],[Column1]]=2,Table14[[#This Row],[Column3]]=2,Table14[[#This Row],[Column2]]=2),6,0)</f>
        <v>0</v>
      </c>
      <c r="AD21" s="57">
        <f>IF(AND(Table14[[#This Row],[Column1]]=2,Table14[[#This Row],[Column3]]=3,Table14[[#This Row],[Column2]]=2),7,0)</f>
        <v>0</v>
      </c>
      <c r="AE21" s="57">
        <f>IF(AND(Table14[[#This Row],[Column1]]=3,Table14[[#This Row],[Column3]]=1),8,0)</f>
        <v>0</v>
      </c>
      <c r="AF21" s="57">
        <f>IF(AND(Table14[[#This Row],[Column1]]=3,Table14[[#This Row],[Column3]]=2),9,0)</f>
        <v>0</v>
      </c>
      <c r="AG21" s="57">
        <f>IF(AND(Table14[[#This Row],[Column1]]=3,Table14[[#This Row],[Column3]]=3),10,0)</f>
        <v>0</v>
      </c>
      <c r="AH21" s="57">
        <f>IF(AND(Table14[[#This Row],[Column1]]=4,Table14[[#This Row],[Column3]]=1),11,0)</f>
        <v>0</v>
      </c>
      <c r="AI21" s="57">
        <f>IF(AND(Table14[[#This Row],[Column1]]=4,Table14[[#This Row],[Column3]]=2),12,0)</f>
        <v>0</v>
      </c>
      <c r="AJ21" s="57">
        <f>IF(AND(Table14[[#This Row],[Column1]]=4,Table14[[#This Row],[Column3]]=3),13,0)</f>
        <v>0</v>
      </c>
      <c r="AK21" s="57">
        <f>IF(AND(Table14[[#This Row],[Column1]]=5,Table14[[#This Row],[Column3]]=1),14,0)</f>
        <v>0</v>
      </c>
      <c r="AL21" s="57">
        <f>IF(AND(Table14[[#This Row],[Column1]]=5,Table14[[#This Row],[Column3]]=2),15,0)</f>
        <v>0</v>
      </c>
      <c r="AM21" s="57">
        <f>IF(AND(Table14[[#This Row],[Column1]]=5,Table14[[#This Row],[Column3]]=3),16,0)</f>
        <v>0</v>
      </c>
      <c r="AN21" s="57">
        <f>IF(AND(Table14[[#This Row],[Column1]]=6,Table14[[#This Row],[Column3]]=1),17,0)</f>
        <v>0</v>
      </c>
      <c r="AO21" s="57">
        <f>IF(AND(Table14[[#This Row],[Column1]]=6,Table14[[#This Row],[Column3]]=2),18,0)</f>
        <v>0</v>
      </c>
      <c r="AP21" s="57">
        <f>IF(AND(Table14[[#This Row],[Column1]]=6,Table14[[#This Row],[Column3]]=3),19,0)</f>
        <v>0</v>
      </c>
      <c r="AQ21" s="57">
        <f>IF(AND(Table14[[#This Row],[Column1]]=7,Table14[[#This Row],[Column3]]=1),20,0)</f>
        <v>0</v>
      </c>
      <c r="AR21" s="57">
        <f>IF(AND(Table14[[#This Row],[Column1]]=7,Table14[[#This Row],[Column3]]=2),21,0)</f>
        <v>0</v>
      </c>
      <c r="AS21" s="57">
        <f>IF(AND(Table14[[#This Row],[Column1]]=7,Table14[[#This Row],[Column3]]=3),22,0)</f>
        <v>0</v>
      </c>
      <c r="AT21" s="57">
        <f>IF(AND(Table14[[#This Row],[Column1]]=8,Table14[[#This Row],[Column3]]=1),23,0)</f>
        <v>0</v>
      </c>
      <c r="AU21" s="57">
        <f>IF(AND(Table14[[#This Row],[Column1]]=8,Table14[[#This Row],[Column3]]=2),24,0)</f>
        <v>0</v>
      </c>
      <c r="AV21" s="57">
        <f>IF(AND(Table14[[#This Row],[Column1]]=8,Table14[[#This Row],[Column3]]=3),25,0)</f>
        <v>0</v>
      </c>
      <c r="AW21" s="57">
        <f>SUM(Table14[[#This Row],[Laden LNG]:[Idle HFO]])</f>
        <v>0</v>
      </c>
      <c r="AX21" s="57">
        <f>IF(AND(Table14[[#This Row],[Reliq]]=1,Table14[[#This Row],[Column3]]=1),26,0)</f>
        <v>0</v>
      </c>
      <c r="AY21" s="57">
        <f>IF(AND(Table14[[#This Row],[Reliq]]=1,Table14[[#This Row],[Column3]]=2),27,0)</f>
        <v>0</v>
      </c>
      <c r="AZ21" s="57">
        <f>IF(AND(Table14[[#This Row],[Reliq]]=1,Table14[[#This Row],[Column3]]=3),28,0)</f>
        <v>0</v>
      </c>
      <c r="BA21" s="57">
        <f>SUM(Table14[[#This Row],[Cooling LNG]:[Cooling HFO]])</f>
        <v>0</v>
      </c>
      <c r="BB21" s="57">
        <f t="shared" si="7"/>
        <v>3</v>
      </c>
    </row>
    <row r="22" spans="1:54" ht="20.100000000000001" customHeight="1" x14ac:dyDescent="0.2">
      <c r="A22" s="122">
        <v>18</v>
      </c>
      <c r="B22" s="103" t="str">
        <f t="shared" si="8"/>
        <v/>
      </c>
      <c r="C22" s="104" t="str">
        <f t="shared" si="9"/>
        <v/>
      </c>
      <c r="D22" s="117" t="s">
        <v>145</v>
      </c>
      <c r="E22" s="45"/>
      <c r="F22" s="126" t="str">
        <f t="shared" si="0"/>
        <v/>
      </c>
      <c r="G22" s="44"/>
      <c r="H22" s="45"/>
      <c r="I22" s="45"/>
      <c r="J22" s="45"/>
      <c r="K22" s="45"/>
      <c r="L22" s="81"/>
      <c r="M22" s="95">
        <f t="shared" si="10"/>
        <v>0</v>
      </c>
      <c r="N22" s="96">
        <f t="shared" si="1"/>
        <v>0</v>
      </c>
      <c r="O22" s="94">
        <f t="shared" si="2"/>
        <v>0</v>
      </c>
      <c r="P22" s="91"/>
      <c r="Q22" s="57"/>
      <c r="R22" s="57">
        <f t="shared" si="3"/>
        <v>3</v>
      </c>
      <c r="S22" s="57"/>
      <c r="T22" s="57">
        <f t="shared" si="4"/>
        <v>1</v>
      </c>
      <c r="U22" s="57"/>
      <c r="V22" s="57">
        <f t="shared" si="5"/>
        <v>3</v>
      </c>
      <c r="W22" s="57"/>
      <c r="X22" s="57">
        <f t="shared" si="6"/>
        <v>4</v>
      </c>
      <c r="Y22" s="57">
        <f>IF(AND(Table14[[#This Row],[Column1]]=2,Table14[[#This Row],[Column3]]=1,Table14[[#This Row],[Column2]]=1),2,0)</f>
        <v>0</v>
      </c>
      <c r="Z22" s="57">
        <f>IF(AND(Table14[[#This Row],[Column1]]=2,Table14[[#This Row],[Column3]]=2,Table14[[#This Row],[Column2]]=1),3,0)</f>
        <v>0</v>
      </c>
      <c r="AA22" s="57">
        <f>IF(AND(Table14[[#This Row],[Column1]]=2,Table14[[#This Row],[Column3]]=3,Table14[[#This Row],[Column2]]=1),4,0)</f>
        <v>0</v>
      </c>
      <c r="AB22" s="57">
        <f>IF(AND(Table14[[#This Row],[Column1]]=2,Table14[[#This Row],[Column3]]=1,Table14[[#This Row],[Column2]]=2),5,0)</f>
        <v>0</v>
      </c>
      <c r="AC22" s="57">
        <f>IF(AND(Table14[[#This Row],[Column1]]=2,Table14[[#This Row],[Column3]]=2,Table14[[#This Row],[Column2]]=2),6,0)</f>
        <v>0</v>
      </c>
      <c r="AD22" s="57">
        <f>IF(AND(Table14[[#This Row],[Column1]]=2,Table14[[#This Row],[Column3]]=3,Table14[[#This Row],[Column2]]=2),7,0)</f>
        <v>0</v>
      </c>
      <c r="AE22" s="57">
        <f>IF(AND(Table14[[#This Row],[Column1]]=3,Table14[[#This Row],[Column3]]=1),8,0)</f>
        <v>0</v>
      </c>
      <c r="AF22" s="57">
        <f>IF(AND(Table14[[#This Row],[Column1]]=3,Table14[[#This Row],[Column3]]=2),9,0)</f>
        <v>0</v>
      </c>
      <c r="AG22" s="57">
        <f>IF(AND(Table14[[#This Row],[Column1]]=3,Table14[[#This Row],[Column3]]=3),10,0)</f>
        <v>0</v>
      </c>
      <c r="AH22" s="57">
        <f>IF(AND(Table14[[#This Row],[Column1]]=4,Table14[[#This Row],[Column3]]=1),11,0)</f>
        <v>0</v>
      </c>
      <c r="AI22" s="57">
        <f>IF(AND(Table14[[#This Row],[Column1]]=4,Table14[[#This Row],[Column3]]=2),12,0)</f>
        <v>0</v>
      </c>
      <c r="AJ22" s="57">
        <f>IF(AND(Table14[[#This Row],[Column1]]=4,Table14[[#This Row],[Column3]]=3),13,0)</f>
        <v>0</v>
      </c>
      <c r="AK22" s="57">
        <f>IF(AND(Table14[[#This Row],[Column1]]=5,Table14[[#This Row],[Column3]]=1),14,0)</f>
        <v>0</v>
      </c>
      <c r="AL22" s="57">
        <f>IF(AND(Table14[[#This Row],[Column1]]=5,Table14[[#This Row],[Column3]]=2),15,0)</f>
        <v>0</v>
      </c>
      <c r="AM22" s="57">
        <f>IF(AND(Table14[[#This Row],[Column1]]=5,Table14[[#This Row],[Column3]]=3),16,0)</f>
        <v>0</v>
      </c>
      <c r="AN22" s="57">
        <f>IF(AND(Table14[[#This Row],[Column1]]=6,Table14[[#This Row],[Column3]]=1),17,0)</f>
        <v>0</v>
      </c>
      <c r="AO22" s="57">
        <f>IF(AND(Table14[[#This Row],[Column1]]=6,Table14[[#This Row],[Column3]]=2),18,0)</f>
        <v>0</v>
      </c>
      <c r="AP22" s="57">
        <f>IF(AND(Table14[[#This Row],[Column1]]=6,Table14[[#This Row],[Column3]]=3),19,0)</f>
        <v>0</v>
      </c>
      <c r="AQ22" s="57">
        <f>IF(AND(Table14[[#This Row],[Column1]]=7,Table14[[#This Row],[Column3]]=1),20,0)</f>
        <v>0</v>
      </c>
      <c r="AR22" s="57">
        <f>IF(AND(Table14[[#This Row],[Column1]]=7,Table14[[#This Row],[Column3]]=2),21,0)</f>
        <v>0</v>
      </c>
      <c r="AS22" s="57">
        <f>IF(AND(Table14[[#This Row],[Column1]]=7,Table14[[#This Row],[Column3]]=3),22,0)</f>
        <v>0</v>
      </c>
      <c r="AT22" s="57">
        <f>IF(AND(Table14[[#This Row],[Column1]]=8,Table14[[#This Row],[Column3]]=1),23,0)</f>
        <v>0</v>
      </c>
      <c r="AU22" s="57">
        <f>IF(AND(Table14[[#This Row],[Column1]]=8,Table14[[#This Row],[Column3]]=2),24,0)</f>
        <v>0</v>
      </c>
      <c r="AV22" s="57">
        <f>IF(AND(Table14[[#This Row],[Column1]]=8,Table14[[#This Row],[Column3]]=3),25,0)</f>
        <v>0</v>
      </c>
      <c r="AW22" s="57">
        <f>SUM(Table14[[#This Row],[Laden LNG]:[Idle HFO]])</f>
        <v>0</v>
      </c>
      <c r="AX22" s="57">
        <f>IF(AND(Table14[[#This Row],[Reliq]]=1,Table14[[#This Row],[Column3]]=1),26,0)</f>
        <v>0</v>
      </c>
      <c r="AY22" s="57">
        <f>IF(AND(Table14[[#This Row],[Reliq]]=1,Table14[[#This Row],[Column3]]=2),27,0)</f>
        <v>0</v>
      </c>
      <c r="AZ22" s="57">
        <f>IF(AND(Table14[[#This Row],[Reliq]]=1,Table14[[#This Row],[Column3]]=3),28,0)</f>
        <v>0</v>
      </c>
      <c r="BA22" s="57">
        <f>SUM(Table14[[#This Row],[Cooling LNG]:[Cooling HFO]])</f>
        <v>0</v>
      </c>
      <c r="BB22" s="57">
        <f t="shared" si="7"/>
        <v>3</v>
      </c>
    </row>
    <row r="23" spans="1:54" ht="20.100000000000001" customHeight="1" x14ac:dyDescent="0.2">
      <c r="A23" s="122">
        <v>19</v>
      </c>
      <c r="B23" s="103" t="str">
        <f t="shared" si="8"/>
        <v/>
      </c>
      <c r="C23" s="104" t="str">
        <f t="shared" si="9"/>
        <v/>
      </c>
      <c r="D23" s="117" t="s">
        <v>145</v>
      </c>
      <c r="E23" s="45"/>
      <c r="F23" s="126" t="str">
        <f t="shared" si="0"/>
        <v/>
      </c>
      <c r="G23" s="44"/>
      <c r="H23" s="45"/>
      <c r="I23" s="45"/>
      <c r="J23" s="45"/>
      <c r="K23" s="45"/>
      <c r="L23" s="81"/>
      <c r="M23" s="95">
        <f t="shared" si="10"/>
        <v>0</v>
      </c>
      <c r="N23" s="96">
        <f t="shared" si="1"/>
        <v>0</v>
      </c>
      <c r="O23" s="94">
        <f t="shared" si="2"/>
        <v>0</v>
      </c>
      <c r="P23" s="91"/>
      <c r="Q23" s="57"/>
      <c r="R23" s="57">
        <f t="shared" si="3"/>
        <v>3</v>
      </c>
      <c r="S23" s="57"/>
      <c r="T23" s="57">
        <f t="shared" si="4"/>
        <v>1</v>
      </c>
      <c r="U23" s="57"/>
      <c r="V23" s="57">
        <f t="shared" si="5"/>
        <v>3</v>
      </c>
      <c r="W23" s="57"/>
      <c r="X23" s="57">
        <f t="shared" si="6"/>
        <v>4</v>
      </c>
      <c r="Y23" s="57">
        <f>IF(AND(Table14[[#This Row],[Column1]]=2,Table14[[#This Row],[Column3]]=1,Table14[[#This Row],[Column2]]=1),2,0)</f>
        <v>0</v>
      </c>
      <c r="Z23" s="57">
        <f>IF(AND(Table14[[#This Row],[Column1]]=2,Table14[[#This Row],[Column3]]=2,Table14[[#This Row],[Column2]]=1),3,0)</f>
        <v>0</v>
      </c>
      <c r="AA23" s="57">
        <f>IF(AND(Table14[[#This Row],[Column1]]=2,Table14[[#This Row],[Column3]]=3,Table14[[#This Row],[Column2]]=1),4,0)</f>
        <v>0</v>
      </c>
      <c r="AB23" s="57">
        <f>IF(AND(Table14[[#This Row],[Column1]]=2,Table14[[#This Row],[Column3]]=1,Table14[[#This Row],[Column2]]=2),5,0)</f>
        <v>0</v>
      </c>
      <c r="AC23" s="57">
        <f>IF(AND(Table14[[#This Row],[Column1]]=2,Table14[[#This Row],[Column3]]=2,Table14[[#This Row],[Column2]]=2),6,0)</f>
        <v>0</v>
      </c>
      <c r="AD23" s="57">
        <f>IF(AND(Table14[[#This Row],[Column1]]=2,Table14[[#This Row],[Column3]]=3,Table14[[#This Row],[Column2]]=2),7,0)</f>
        <v>0</v>
      </c>
      <c r="AE23" s="57">
        <f>IF(AND(Table14[[#This Row],[Column1]]=3,Table14[[#This Row],[Column3]]=1),8,0)</f>
        <v>0</v>
      </c>
      <c r="AF23" s="57">
        <f>IF(AND(Table14[[#This Row],[Column1]]=3,Table14[[#This Row],[Column3]]=2),9,0)</f>
        <v>0</v>
      </c>
      <c r="AG23" s="57">
        <f>IF(AND(Table14[[#This Row],[Column1]]=3,Table14[[#This Row],[Column3]]=3),10,0)</f>
        <v>0</v>
      </c>
      <c r="AH23" s="57">
        <f>IF(AND(Table14[[#This Row],[Column1]]=4,Table14[[#This Row],[Column3]]=1),11,0)</f>
        <v>0</v>
      </c>
      <c r="AI23" s="57">
        <f>IF(AND(Table14[[#This Row],[Column1]]=4,Table14[[#This Row],[Column3]]=2),12,0)</f>
        <v>0</v>
      </c>
      <c r="AJ23" s="57">
        <f>IF(AND(Table14[[#This Row],[Column1]]=4,Table14[[#This Row],[Column3]]=3),13,0)</f>
        <v>0</v>
      </c>
      <c r="AK23" s="57">
        <f>IF(AND(Table14[[#This Row],[Column1]]=5,Table14[[#This Row],[Column3]]=1),14,0)</f>
        <v>0</v>
      </c>
      <c r="AL23" s="57">
        <f>IF(AND(Table14[[#This Row],[Column1]]=5,Table14[[#This Row],[Column3]]=2),15,0)</f>
        <v>0</v>
      </c>
      <c r="AM23" s="57">
        <f>IF(AND(Table14[[#This Row],[Column1]]=5,Table14[[#This Row],[Column3]]=3),16,0)</f>
        <v>0</v>
      </c>
      <c r="AN23" s="57">
        <f>IF(AND(Table14[[#This Row],[Column1]]=6,Table14[[#This Row],[Column3]]=1),17,0)</f>
        <v>0</v>
      </c>
      <c r="AO23" s="57">
        <f>IF(AND(Table14[[#This Row],[Column1]]=6,Table14[[#This Row],[Column3]]=2),18,0)</f>
        <v>0</v>
      </c>
      <c r="AP23" s="57">
        <f>IF(AND(Table14[[#This Row],[Column1]]=6,Table14[[#This Row],[Column3]]=3),19,0)</f>
        <v>0</v>
      </c>
      <c r="AQ23" s="57">
        <f>IF(AND(Table14[[#This Row],[Column1]]=7,Table14[[#This Row],[Column3]]=1),20,0)</f>
        <v>0</v>
      </c>
      <c r="AR23" s="57">
        <f>IF(AND(Table14[[#This Row],[Column1]]=7,Table14[[#This Row],[Column3]]=2),21,0)</f>
        <v>0</v>
      </c>
      <c r="AS23" s="57">
        <f>IF(AND(Table14[[#This Row],[Column1]]=7,Table14[[#This Row],[Column3]]=3),22,0)</f>
        <v>0</v>
      </c>
      <c r="AT23" s="57">
        <f>IF(AND(Table14[[#This Row],[Column1]]=8,Table14[[#This Row],[Column3]]=1),23,0)</f>
        <v>0</v>
      </c>
      <c r="AU23" s="57">
        <f>IF(AND(Table14[[#This Row],[Column1]]=8,Table14[[#This Row],[Column3]]=2),24,0)</f>
        <v>0</v>
      </c>
      <c r="AV23" s="57">
        <f>IF(AND(Table14[[#This Row],[Column1]]=8,Table14[[#This Row],[Column3]]=3),25,0)</f>
        <v>0</v>
      </c>
      <c r="AW23" s="57">
        <f>SUM(Table14[[#This Row],[Laden LNG]:[Idle HFO]])</f>
        <v>0</v>
      </c>
      <c r="AX23" s="57">
        <f>IF(AND(Table14[[#This Row],[Reliq]]=1,Table14[[#This Row],[Column3]]=1),26,0)</f>
        <v>0</v>
      </c>
      <c r="AY23" s="57">
        <f>IF(AND(Table14[[#This Row],[Reliq]]=1,Table14[[#This Row],[Column3]]=2),27,0)</f>
        <v>0</v>
      </c>
      <c r="AZ23" s="57">
        <f>IF(AND(Table14[[#This Row],[Reliq]]=1,Table14[[#This Row],[Column3]]=3),28,0)</f>
        <v>0</v>
      </c>
      <c r="BA23" s="57">
        <f>SUM(Table14[[#This Row],[Cooling LNG]:[Cooling HFO]])</f>
        <v>0</v>
      </c>
      <c r="BB23" s="57">
        <f t="shared" si="7"/>
        <v>3</v>
      </c>
    </row>
    <row r="24" spans="1:54" ht="20.100000000000001" customHeight="1" thickBot="1" x14ac:dyDescent="0.25">
      <c r="A24" s="122">
        <v>20</v>
      </c>
      <c r="B24" s="103" t="str">
        <f t="shared" si="8"/>
        <v/>
      </c>
      <c r="C24" s="104" t="str">
        <f t="shared" si="9"/>
        <v/>
      </c>
      <c r="D24" s="117" t="s">
        <v>145</v>
      </c>
      <c r="E24" s="45"/>
      <c r="F24" s="127" t="str">
        <f t="shared" si="0"/>
        <v/>
      </c>
      <c r="G24" s="44"/>
      <c r="H24" s="58"/>
      <c r="I24" s="50"/>
      <c r="J24" s="50"/>
      <c r="K24" s="50"/>
      <c r="L24" s="82"/>
      <c r="M24" s="95">
        <f t="shared" si="10"/>
        <v>0</v>
      </c>
      <c r="N24" s="96">
        <f t="shared" si="1"/>
        <v>0</v>
      </c>
      <c r="O24" s="94">
        <f t="shared" si="2"/>
        <v>0</v>
      </c>
      <c r="P24" s="91"/>
      <c r="Q24" s="57"/>
      <c r="R24" s="57">
        <f t="shared" si="3"/>
        <v>3</v>
      </c>
      <c r="S24" s="57"/>
      <c r="T24" s="57">
        <f t="shared" si="4"/>
        <v>1</v>
      </c>
      <c r="U24" s="57"/>
      <c r="V24" s="57">
        <f t="shared" si="5"/>
        <v>3</v>
      </c>
      <c r="W24" s="57"/>
      <c r="X24" s="57">
        <f t="shared" si="6"/>
        <v>4</v>
      </c>
      <c r="Y24" s="57">
        <f>IF(AND(Table14[[#This Row],[Column1]]=2,Table14[[#This Row],[Column3]]=1,Table14[[#This Row],[Column2]]=1),2,0)</f>
        <v>0</v>
      </c>
      <c r="Z24" s="57">
        <f>IF(AND(Table14[[#This Row],[Column1]]=2,Table14[[#This Row],[Column3]]=2,Table14[[#This Row],[Column2]]=1),3,0)</f>
        <v>0</v>
      </c>
      <c r="AA24" s="57">
        <f>IF(AND(Table14[[#This Row],[Column1]]=2,Table14[[#This Row],[Column3]]=3,Table14[[#This Row],[Column2]]=1),4,0)</f>
        <v>0</v>
      </c>
      <c r="AB24" s="57">
        <f>IF(AND(Table14[[#This Row],[Column1]]=2,Table14[[#This Row],[Column3]]=1,Table14[[#This Row],[Column2]]=2),5,0)</f>
        <v>0</v>
      </c>
      <c r="AC24" s="57">
        <f>IF(AND(Table14[[#This Row],[Column1]]=2,Table14[[#This Row],[Column3]]=2,Table14[[#This Row],[Column2]]=2),6,0)</f>
        <v>0</v>
      </c>
      <c r="AD24" s="57">
        <f>IF(AND(Table14[[#This Row],[Column1]]=2,Table14[[#This Row],[Column3]]=3,Table14[[#This Row],[Column2]]=2),7,0)</f>
        <v>0</v>
      </c>
      <c r="AE24" s="57">
        <f>IF(AND(Table14[[#This Row],[Column1]]=3,Table14[[#This Row],[Column3]]=1),8,0)</f>
        <v>0</v>
      </c>
      <c r="AF24" s="57">
        <f>IF(AND(Table14[[#This Row],[Column1]]=3,Table14[[#This Row],[Column3]]=2),9,0)</f>
        <v>0</v>
      </c>
      <c r="AG24" s="57">
        <f>IF(AND(Table14[[#This Row],[Column1]]=3,Table14[[#This Row],[Column3]]=3),10,0)</f>
        <v>0</v>
      </c>
      <c r="AH24" s="57">
        <f>IF(AND(Table14[[#This Row],[Column1]]=4,Table14[[#This Row],[Column3]]=1),11,0)</f>
        <v>0</v>
      </c>
      <c r="AI24" s="57">
        <f>IF(AND(Table14[[#This Row],[Column1]]=4,Table14[[#This Row],[Column3]]=2),12,0)</f>
        <v>0</v>
      </c>
      <c r="AJ24" s="57">
        <f>IF(AND(Table14[[#This Row],[Column1]]=4,Table14[[#This Row],[Column3]]=3),13,0)</f>
        <v>0</v>
      </c>
      <c r="AK24" s="57">
        <f>IF(AND(Table14[[#This Row],[Column1]]=5,Table14[[#This Row],[Column3]]=1),14,0)</f>
        <v>0</v>
      </c>
      <c r="AL24" s="57">
        <f>IF(AND(Table14[[#This Row],[Column1]]=5,Table14[[#This Row],[Column3]]=2),15,0)</f>
        <v>0</v>
      </c>
      <c r="AM24" s="57">
        <f>IF(AND(Table14[[#This Row],[Column1]]=5,Table14[[#This Row],[Column3]]=3),16,0)</f>
        <v>0</v>
      </c>
      <c r="AN24" s="57">
        <f>IF(AND(Table14[[#This Row],[Column1]]=6,Table14[[#This Row],[Column3]]=1),17,0)</f>
        <v>0</v>
      </c>
      <c r="AO24" s="57">
        <f>IF(AND(Table14[[#This Row],[Column1]]=6,Table14[[#This Row],[Column3]]=2),18,0)</f>
        <v>0</v>
      </c>
      <c r="AP24" s="57">
        <f>IF(AND(Table14[[#This Row],[Column1]]=6,Table14[[#This Row],[Column3]]=3),19,0)</f>
        <v>0</v>
      </c>
      <c r="AQ24" s="57">
        <f>IF(AND(Table14[[#This Row],[Column1]]=7,Table14[[#This Row],[Column3]]=1),20,0)</f>
        <v>0</v>
      </c>
      <c r="AR24" s="57">
        <f>IF(AND(Table14[[#This Row],[Column1]]=7,Table14[[#This Row],[Column3]]=2),21,0)</f>
        <v>0</v>
      </c>
      <c r="AS24" s="57">
        <f>IF(AND(Table14[[#This Row],[Column1]]=7,Table14[[#This Row],[Column3]]=3),22,0)</f>
        <v>0</v>
      </c>
      <c r="AT24" s="57">
        <f>IF(AND(Table14[[#This Row],[Column1]]=8,Table14[[#This Row],[Column3]]=1),23,0)</f>
        <v>0</v>
      </c>
      <c r="AU24" s="57">
        <f>IF(AND(Table14[[#This Row],[Column1]]=8,Table14[[#This Row],[Column3]]=2),24,0)</f>
        <v>0</v>
      </c>
      <c r="AV24" s="57">
        <f>IF(AND(Table14[[#This Row],[Column1]]=8,Table14[[#This Row],[Column3]]=3),25,0)</f>
        <v>0</v>
      </c>
      <c r="AW24" s="57">
        <f>SUM(Table14[[#This Row],[Laden LNG]:[Idle HFO]])</f>
        <v>0</v>
      </c>
      <c r="AX24" s="57">
        <f>IF(AND(Table14[[#This Row],[Reliq]]=1,Table14[[#This Row],[Column3]]=1),26,0)</f>
        <v>0</v>
      </c>
      <c r="AY24" s="57">
        <f>IF(AND(Table14[[#This Row],[Reliq]]=1,Table14[[#This Row],[Column3]]=2),27,0)</f>
        <v>0</v>
      </c>
      <c r="AZ24" s="57">
        <f>IF(AND(Table14[[#This Row],[Reliq]]=1,Table14[[#This Row],[Column3]]=3),28,0)</f>
        <v>0</v>
      </c>
      <c r="BA24" s="57">
        <f>SUM(Table14[[#This Row],[Cooling LNG]:[Cooling HFO]])</f>
        <v>0</v>
      </c>
      <c r="BB24" s="57">
        <f t="shared" si="7"/>
        <v>3</v>
      </c>
    </row>
    <row r="25" spans="1:54" ht="20.100000000000001" customHeight="1" thickTop="1" thickBot="1" x14ac:dyDescent="0.25">
      <c r="A25" s="51" t="s">
        <v>0</v>
      </c>
      <c r="B25" s="52"/>
      <c r="C25" s="52"/>
      <c r="D25" s="53"/>
      <c r="E25" s="53">
        <f>SUM(E5:E24)</f>
        <v>6370</v>
      </c>
      <c r="F25" s="53"/>
      <c r="G25" s="53"/>
      <c r="H25" s="53"/>
      <c r="I25" s="53"/>
      <c r="J25" s="53"/>
      <c r="K25" s="53"/>
      <c r="L25" s="54"/>
      <c r="M25" s="78">
        <f>SUM(M5:M24)</f>
        <v>34</v>
      </c>
      <c r="N25" s="53">
        <f>SUM(N5:N24)</f>
        <v>816</v>
      </c>
      <c r="O25" s="54">
        <f>E25/N25</f>
        <v>7.8063725490196081</v>
      </c>
      <c r="P25" s="66"/>
    </row>
    <row r="26" spans="1:54" ht="20.100000000000001" customHeight="1" thickTop="1" thickBot="1" x14ac:dyDescent="0.25"/>
    <row r="27" spans="1:54" ht="20.100000000000001" hidden="1" customHeight="1" x14ac:dyDescent="0.3">
      <c r="A27" s="12" t="s">
        <v>125</v>
      </c>
      <c r="B27" s="20"/>
      <c r="C27" s="20"/>
      <c r="D27" s="21"/>
    </row>
    <row r="28" spans="1:54" ht="20.100000000000001" hidden="1" customHeight="1" thickBot="1" x14ac:dyDescent="0.35">
      <c r="A28" s="12"/>
      <c r="B28" s="70"/>
      <c r="C28" s="70"/>
      <c r="D28" s="70"/>
      <c r="E28" s="70"/>
      <c r="F28" s="70"/>
      <c r="G28" s="70"/>
      <c r="H28" s="70"/>
    </row>
    <row r="29" spans="1:54" ht="20.100000000000001" hidden="1" customHeight="1" thickTop="1" thickBot="1" x14ac:dyDescent="0.25">
      <c r="A29" s="4" t="s">
        <v>44</v>
      </c>
      <c r="B29" s="16" t="s">
        <v>30</v>
      </c>
      <c r="C29" s="16" t="s">
        <v>32</v>
      </c>
      <c r="D29" s="16" t="s">
        <v>34</v>
      </c>
      <c r="E29" s="16" t="s">
        <v>31</v>
      </c>
      <c r="F29" s="16" t="s">
        <v>33</v>
      </c>
      <c r="G29" s="16" t="s">
        <v>35</v>
      </c>
      <c r="H29" s="30" t="s">
        <v>65</v>
      </c>
      <c r="I29" s="30" t="s">
        <v>66</v>
      </c>
      <c r="J29" s="30" t="s">
        <v>67</v>
      </c>
      <c r="K29" s="30" t="s">
        <v>68</v>
      </c>
      <c r="L29" s="30" t="s">
        <v>69</v>
      </c>
      <c r="M29" s="30" t="s">
        <v>70</v>
      </c>
      <c r="N29" s="30" t="s">
        <v>82</v>
      </c>
      <c r="O29" s="30" t="s">
        <v>83</v>
      </c>
      <c r="P29" s="30" t="s">
        <v>84</v>
      </c>
      <c r="Q29" s="30" t="s">
        <v>85</v>
      </c>
      <c r="R29" s="30" t="s">
        <v>86</v>
      </c>
      <c r="S29" s="30" t="s">
        <v>87</v>
      </c>
      <c r="T29" s="30" t="s">
        <v>88</v>
      </c>
      <c r="U29" s="30" t="s">
        <v>89</v>
      </c>
      <c r="V29" s="30" t="s">
        <v>90</v>
      </c>
      <c r="W29" s="30" t="s">
        <v>91</v>
      </c>
      <c r="X29" s="30" t="s">
        <v>92</v>
      </c>
      <c r="Y29" s="30" t="s">
        <v>93</v>
      </c>
      <c r="Z29" s="30" t="s">
        <v>71</v>
      </c>
      <c r="AA29" s="30" t="s">
        <v>72</v>
      </c>
      <c r="AB29" s="17" t="s">
        <v>73</v>
      </c>
      <c r="AC29" s="16" t="s">
        <v>127</v>
      </c>
      <c r="AD29" s="17" t="s">
        <v>128</v>
      </c>
      <c r="AE29" s="17" t="s">
        <v>129</v>
      </c>
    </row>
    <row r="30" spans="1:54" ht="20.100000000000001" hidden="1" customHeight="1" thickTop="1" x14ac:dyDescent="0.2">
      <c r="A30" s="39">
        <f>A5</f>
        <v>1</v>
      </c>
      <c r="B30" s="25">
        <f>IF(D5="",0,VLOOKUP($O5,'Consumption Inputs'!$A$40:$I$117,2))</f>
        <v>84.710743801652896</v>
      </c>
      <c r="C30" s="25">
        <f>IF(D5="",0,VLOOKUP($O5,'Consumption Inputs'!$A$40:$I$117,4))</f>
        <v>40.13583138173302</v>
      </c>
      <c r="D30" s="25">
        <f>IF(D5="",0,VLOOKUP($O5,'Consumption Inputs'!$A$40:$I$117,6))</f>
        <v>41</v>
      </c>
      <c r="E30" s="25">
        <f>IF(D5="",0,VLOOKUP($O5,'Consumption Inputs'!$A$40:$I$117,3))</f>
        <v>86.776859504132233</v>
      </c>
      <c r="F30" s="25">
        <f>IF(D5="",0,VLOOKUP($O5,'Consumption Inputs'!$A$40:$I$117,5))</f>
        <v>41.114754098360656</v>
      </c>
      <c r="G30" s="25">
        <f>IF(D5="",0,VLOOKUP($O5,'Consumption Inputs'!$A$40:$I$117,7))</f>
        <v>42.000000000000007</v>
      </c>
      <c r="H30" s="33">
        <f>IF(D5="",0,'Consumption Inputs'!$B$36)</f>
        <v>55.785123966942152</v>
      </c>
      <c r="I30" s="33">
        <f>IF(D5="",0,'Consumption Inputs'!$D$36)</f>
        <v>26.430913348946135</v>
      </c>
      <c r="J30" s="33">
        <f>IF(D5="",0,'Consumption Inputs'!$F$36)</f>
        <v>27</v>
      </c>
      <c r="K30" s="33">
        <f>IF(D5="",0,'Consumption Inputs'!$B$37)</f>
        <v>90.909090909090907</v>
      </c>
      <c r="L30" s="33">
        <f>IF(D5="",0,'Consumption Inputs'!$D$37)</f>
        <v>43.072599531615921</v>
      </c>
      <c r="M30" s="33">
        <f>IF(D5="",0,'Consumption Inputs'!$F$37)</f>
        <v>44</v>
      </c>
      <c r="N30" s="33">
        <f>IF(D5="",0,'Consumption Inputs'!$B$42)</f>
        <v>84.710743801652896</v>
      </c>
      <c r="O30" s="33">
        <f>IF(D5="",0,'Consumption Inputs'!$D$42)</f>
        <v>40.13583138173302</v>
      </c>
      <c r="P30" s="33">
        <f>IF(D5="",0,'Consumption Inputs'!$F$42)</f>
        <v>41</v>
      </c>
      <c r="Q30" s="33">
        <f>IF(D5="",0,'Consumption Inputs'!$B$34)</f>
        <v>30.991735537190085</v>
      </c>
      <c r="R30" s="33">
        <f>IF(D5="",0,'Consumption Inputs'!$D$34)</f>
        <v>14.68384074941452</v>
      </c>
      <c r="S30" s="33">
        <f>IF(D5="",0,'Consumption Inputs'!$F$34)</f>
        <v>15</v>
      </c>
      <c r="T30" s="33">
        <f>IF(D5="",0,'Consumption Inputs'!$B$35)</f>
        <v>30.991735537190085</v>
      </c>
      <c r="U30" s="33">
        <f>IF(D5="",0,'Consumption Inputs'!$D$35)</f>
        <v>14.68384074941452</v>
      </c>
      <c r="V30" s="33">
        <f>IF(D5="",0,'Consumption Inputs'!$F$35)</f>
        <v>15</v>
      </c>
      <c r="W30" s="33">
        <f>IF(D5="",0,'Consumption Inputs'!$B$34)</f>
        <v>30.991735537190085</v>
      </c>
      <c r="X30" s="33">
        <f>IF(D5="",0,'Consumption Inputs'!$D$34)</f>
        <v>14.68384074941452</v>
      </c>
      <c r="Y30" s="33">
        <f>IF(D5="",0,'Consumption Inputs'!$F$34)</f>
        <v>15</v>
      </c>
      <c r="Z30" s="33">
        <f>IF(D5="",0,'Consumption Inputs'!$B$38)</f>
        <v>12.396694214876034</v>
      </c>
      <c r="AA30" s="33">
        <f>IF(D5="",0,'Consumption Inputs'!$D$38)</f>
        <v>5.8735362997658083</v>
      </c>
      <c r="AB30" s="25">
        <f>IF(D5="",0,'Consumption Inputs'!$F$38)</f>
        <v>6</v>
      </c>
      <c r="AC30" s="25">
        <f>IF(D5="",0,VLOOKUP($O5,'Consumption Inputs'!$A$40:$I$117,8))</f>
        <v>2.5</v>
      </c>
      <c r="AD30" s="25">
        <f>IF(D5="",0,VLOOKUP($O5,'Consumption Inputs'!$A$40:$I$117,9))</f>
        <v>0.6</v>
      </c>
      <c r="AE30" s="35">
        <f>IF(D5="",0,'Consumption Inputs'!$B$18)</f>
        <v>0.1</v>
      </c>
    </row>
    <row r="31" spans="1:54" ht="20.100000000000001" hidden="1" customHeight="1" x14ac:dyDescent="0.2">
      <c r="A31" s="39">
        <f t="shared" ref="A31:A49" si="11">A6</f>
        <v>2</v>
      </c>
      <c r="B31" s="31">
        <f>IF(D6="",0,VLOOKUP($O6,'Consumption Inputs'!$A$40:$I$117,2))</f>
        <v>84.710743801652896</v>
      </c>
      <c r="C31" s="31">
        <f>IF(D6="",0,VLOOKUP($O6,'Consumption Inputs'!$A$40:$I$117,4))</f>
        <v>40.13583138173302</v>
      </c>
      <c r="D31" s="31">
        <f>IF(D6="",0,VLOOKUP($O6,'Consumption Inputs'!$A$40:$I$117,6))</f>
        <v>41</v>
      </c>
      <c r="E31" s="31">
        <f>IF(D6="",0,VLOOKUP($O6,'Consumption Inputs'!$A$40:$I$117,3))</f>
        <v>84.710743801652896</v>
      </c>
      <c r="F31" s="31">
        <f>IF(D6="",0,VLOOKUP($O6,'Consumption Inputs'!$A$40:$I$117,5))</f>
        <v>40.13583138173302</v>
      </c>
      <c r="G31" s="31">
        <f>IF(D6="",0,VLOOKUP($O6,'Consumption Inputs'!$A$40:$I$117,7))</f>
        <v>41</v>
      </c>
      <c r="H31" s="32">
        <f>IF(D6="",0,'Consumption Inputs'!$B$36)</f>
        <v>55.785123966942152</v>
      </c>
      <c r="I31" s="32">
        <f>IF(D6="",0,'Consumption Inputs'!$D$36)</f>
        <v>26.430913348946135</v>
      </c>
      <c r="J31" s="32">
        <f>IF(D6="",0,'Consumption Inputs'!$F$36)</f>
        <v>27</v>
      </c>
      <c r="K31" s="32">
        <f>IF(D6="",0,'Consumption Inputs'!$B$37)</f>
        <v>90.909090909090907</v>
      </c>
      <c r="L31" s="32">
        <f>IF(D6="",0,'Consumption Inputs'!$D$37)</f>
        <v>43.072599531615921</v>
      </c>
      <c r="M31" s="32">
        <f>IF(D6="",0,'Consumption Inputs'!$F$37)</f>
        <v>44</v>
      </c>
      <c r="N31" s="32">
        <f>IF(D6="",0,'Consumption Inputs'!$B$42)</f>
        <v>84.710743801652896</v>
      </c>
      <c r="O31" s="32">
        <f>IF(D6="",0,'Consumption Inputs'!$D$42)</f>
        <v>40.13583138173302</v>
      </c>
      <c r="P31" s="32">
        <f>IF(D6="",0,'Consumption Inputs'!$F$42)</f>
        <v>41</v>
      </c>
      <c r="Q31" s="32">
        <f>IF(D6="",0,'Consumption Inputs'!$B$34)</f>
        <v>30.991735537190085</v>
      </c>
      <c r="R31" s="32">
        <f>IF(D6="",0,'Consumption Inputs'!$D$34)</f>
        <v>14.68384074941452</v>
      </c>
      <c r="S31" s="32">
        <f>IF(D6="",0,'Consumption Inputs'!$F$34)</f>
        <v>15</v>
      </c>
      <c r="T31" s="32">
        <f>IF(D6="",0,'Consumption Inputs'!$B$35)</f>
        <v>30.991735537190085</v>
      </c>
      <c r="U31" s="32">
        <f>IF(D6="",0,'Consumption Inputs'!$D$35)</f>
        <v>14.68384074941452</v>
      </c>
      <c r="V31" s="32">
        <f>IF(D6="",0,'Consumption Inputs'!$F$35)</f>
        <v>15</v>
      </c>
      <c r="W31" s="32">
        <f>IF(D6="",0,'Consumption Inputs'!$B$34)</f>
        <v>30.991735537190085</v>
      </c>
      <c r="X31" s="32">
        <f>IF(D6="",0,'Consumption Inputs'!$D$34)</f>
        <v>14.68384074941452</v>
      </c>
      <c r="Y31" s="32">
        <f>IF(D6="",0,'Consumption Inputs'!$F$34)</f>
        <v>15</v>
      </c>
      <c r="Z31" s="32">
        <f>IF(D6="",0,'Consumption Inputs'!$B$38)</f>
        <v>12.396694214876034</v>
      </c>
      <c r="AA31" s="32">
        <f>IF(D6="",0,'Consumption Inputs'!$D$38)</f>
        <v>5.8735362997658083</v>
      </c>
      <c r="AB31" s="31">
        <f>IF(D6="",0,'Consumption Inputs'!$F$38)</f>
        <v>6</v>
      </c>
      <c r="AC31" s="31">
        <f>IF(D6="",0,VLOOKUP($O6,'Consumption Inputs'!$A$40:$I$117,8))</f>
        <v>0</v>
      </c>
      <c r="AD31" s="31">
        <f>IF(D6="",0,VLOOKUP($O6,'Consumption Inputs'!$A$40:$I$117,9))</f>
        <v>0.6</v>
      </c>
      <c r="AE31" s="34">
        <f>IF(D6="",0,'Consumption Inputs'!$B$18)</f>
        <v>0.1</v>
      </c>
    </row>
    <row r="32" spans="1:54" ht="20.100000000000001" hidden="1" customHeight="1" x14ac:dyDescent="0.2">
      <c r="A32" s="39">
        <f t="shared" si="11"/>
        <v>3</v>
      </c>
      <c r="B32" s="31">
        <f>IF(D7="",0,VLOOKUP($O7,'Consumption Inputs'!$A$40:$I$117,2))</f>
        <v>84.710743801652896</v>
      </c>
      <c r="C32" s="31">
        <f>IF(D7="",0,VLOOKUP($O7,'Consumption Inputs'!$A$40:$I$117,4))</f>
        <v>40.13583138173302</v>
      </c>
      <c r="D32" s="31">
        <f>IF(D7="",0,VLOOKUP($O7,'Consumption Inputs'!$A$40:$I$117,6))</f>
        <v>41</v>
      </c>
      <c r="E32" s="31">
        <f>IF(D7="",0,VLOOKUP($O7,'Consumption Inputs'!$A$40:$I$117,3))</f>
        <v>86.776859504132233</v>
      </c>
      <c r="F32" s="31">
        <f>IF(D7="",0,VLOOKUP($O7,'Consumption Inputs'!$A$40:$I$117,5))</f>
        <v>41.114754098360656</v>
      </c>
      <c r="G32" s="31">
        <f>IF(D7="",0,VLOOKUP($O7,'Consumption Inputs'!$A$40:$I$117,7))</f>
        <v>42.000000000000007</v>
      </c>
      <c r="H32" s="32">
        <f>IF(D7="",0,'Consumption Inputs'!$B$36)</f>
        <v>55.785123966942152</v>
      </c>
      <c r="I32" s="32">
        <f>IF(D7="",0,'Consumption Inputs'!$D$36)</f>
        <v>26.430913348946135</v>
      </c>
      <c r="J32" s="32">
        <f>IF(D7="",0,'Consumption Inputs'!$F$36)</f>
        <v>27</v>
      </c>
      <c r="K32" s="32">
        <f>IF(D7="",0,'Consumption Inputs'!$B$37)</f>
        <v>90.909090909090907</v>
      </c>
      <c r="L32" s="32">
        <f>IF(D7="",0,'Consumption Inputs'!$D$37)</f>
        <v>43.072599531615921</v>
      </c>
      <c r="M32" s="32">
        <f>IF(D7="",0,'Consumption Inputs'!$F$37)</f>
        <v>44</v>
      </c>
      <c r="N32" s="32">
        <f>IF(D7="",0,'Consumption Inputs'!$B$42)</f>
        <v>84.710743801652896</v>
      </c>
      <c r="O32" s="32">
        <f>IF(D7="",0,'Consumption Inputs'!$D$42)</f>
        <v>40.13583138173302</v>
      </c>
      <c r="P32" s="32">
        <f>IF(D7="",0,'Consumption Inputs'!$F$42)</f>
        <v>41</v>
      </c>
      <c r="Q32" s="32">
        <f>IF(D7="",0,'Consumption Inputs'!$B$34)</f>
        <v>30.991735537190085</v>
      </c>
      <c r="R32" s="32">
        <f>IF(D7="",0,'Consumption Inputs'!$D$34)</f>
        <v>14.68384074941452</v>
      </c>
      <c r="S32" s="32">
        <f>IF(D7="",0,'Consumption Inputs'!$F$34)</f>
        <v>15</v>
      </c>
      <c r="T32" s="32">
        <f>IF(D7="",0,'Consumption Inputs'!$B$35)</f>
        <v>30.991735537190085</v>
      </c>
      <c r="U32" s="32">
        <f>IF(D7="",0,'Consumption Inputs'!$D$35)</f>
        <v>14.68384074941452</v>
      </c>
      <c r="V32" s="32">
        <f>IF(D7="",0,'Consumption Inputs'!$F$35)</f>
        <v>15</v>
      </c>
      <c r="W32" s="32">
        <f>IF(D7="",0,'Consumption Inputs'!$B$34)</f>
        <v>30.991735537190085</v>
      </c>
      <c r="X32" s="32">
        <f>IF(D7="",0,'Consumption Inputs'!$D$34)</f>
        <v>14.68384074941452</v>
      </c>
      <c r="Y32" s="32">
        <f>IF(D7="",0,'Consumption Inputs'!$F$34)</f>
        <v>15</v>
      </c>
      <c r="Z32" s="32">
        <f>IF(D7="",0,'Consumption Inputs'!$B$38)</f>
        <v>12.396694214876034</v>
      </c>
      <c r="AA32" s="32">
        <f>IF(D7="",0,'Consumption Inputs'!$D$38)</f>
        <v>5.8735362997658083</v>
      </c>
      <c r="AB32" s="31">
        <f>IF(D7="",0,'Consumption Inputs'!$F$38)</f>
        <v>6</v>
      </c>
      <c r="AC32" s="31">
        <f>IF(D7="",0,VLOOKUP($O7,'Consumption Inputs'!$A$40:$I$117,8))</f>
        <v>2.5</v>
      </c>
      <c r="AD32" s="31">
        <f>IF(D7="",0,VLOOKUP($O7,'Consumption Inputs'!$A$40:$I$117,9))</f>
        <v>0.6</v>
      </c>
      <c r="AE32" s="34">
        <f>IF(D7="",0,'Consumption Inputs'!$B$18)</f>
        <v>0.1</v>
      </c>
    </row>
    <row r="33" spans="1:31" ht="20.100000000000001" hidden="1" customHeight="1" x14ac:dyDescent="0.2">
      <c r="A33" s="39">
        <f t="shared" si="11"/>
        <v>4</v>
      </c>
      <c r="B33" s="31">
        <f>IF(D8="",0,VLOOKUP($O8,'Consumption Inputs'!$A$40:$I$117,2))</f>
        <v>128.51239669421483</v>
      </c>
      <c r="C33" s="31">
        <f>IF(D8="",0,VLOOKUP($O8,'Consumption Inputs'!$A$40:$I$117,4))</f>
        <v>60.88899297423886</v>
      </c>
      <c r="D33" s="31">
        <f>IF(D8="",0,VLOOKUP($O8,'Consumption Inputs'!$A$40:$I$117,6))</f>
        <v>62.199999999999974</v>
      </c>
      <c r="E33" s="31">
        <f>IF(D8="",0,VLOOKUP($O8,'Consumption Inputs'!$A$40:$I$117,3))</f>
        <v>120.45454545454544</v>
      </c>
      <c r="F33" s="31">
        <f>IF(D8="",0,VLOOKUP($O8,'Consumption Inputs'!$A$40:$I$117,5))</f>
        <v>57.071194379391073</v>
      </c>
      <c r="G33" s="31">
        <f>IF(D8="",0,VLOOKUP($O8,'Consumption Inputs'!$A$40:$I$117,7))</f>
        <v>58.300000000000026</v>
      </c>
      <c r="H33" s="32">
        <f>IF(D8="",0,'Consumption Inputs'!$B$36)</f>
        <v>55.785123966942152</v>
      </c>
      <c r="I33" s="32">
        <f>IF(D8="",0,'Consumption Inputs'!$D$36)</f>
        <v>26.430913348946135</v>
      </c>
      <c r="J33" s="32">
        <f>IF(D8="",0,'Consumption Inputs'!$F$36)</f>
        <v>27</v>
      </c>
      <c r="K33" s="32">
        <f>IF(D8="",0,'Consumption Inputs'!$B$37)</f>
        <v>90.909090909090907</v>
      </c>
      <c r="L33" s="32">
        <f>IF(D8="",0,'Consumption Inputs'!$D$37)</f>
        <v>43.072599531615921</v>
      </c>
      <c r="M33" s="32">
        <f>IF(D8="",0,'Consumption Inputs'!$F$37)</f>
        <v>44</v>
      </c>
      <c r="N33" s="32">
        <f>IF(D8="",0,'Consumption Inputs'!$B$42)</f>
        <v>84.710743801652896</v>
      </c>
      <c r="O33" s="32">
        <f>IF(D8="",0,'Consumption Inputs'!$D$42)</f>
        <v>40.13583138173302</v>
      </c>
      <c r="P33" s="32">
        <f>IF(D8="",0,'Consumption Inputs'!$F$42)</f>
        <v>41</v>
      </c>
      <c r="Q33" s="32">
        <f>IF(D8="",0,'Consumption Inputs'!$B$34)</f>
        <v>30.991735537190085</v>
      </c>
      <c r="R33" s="32">
        <f>IF(D8="",0,'Consumption Inputs'!$D$34)</f>
        <v>14.68384074941452</v>
      </c>
      <c r="S33" s="32">
        <f>IF(D8="",0,'Consumption Inputs'!$F$34)</f>
        <v>15</v>
      </c>
      <c r="T33" s="32">
        <f>IF(D8="",0,'Consumption Inputs'!$B$35)</f>
        <v>30.991735537190085</v>
      </c>
      <c r="U33" s="32">
        <f>IF(D8="",0,'Consumption Inputs'!$D$35)</f>
        <v>14.68384074941452</v>
      </c>
      <c r="V33" s="32">
        <f>IF(D8="",0,'Consumption Inputs'!$F$35)</f>
        <v>15</v>
      </c>
      <c r="W33" s="32">
        <f>IF(D8="",0,'Consumption Inputs'!$B$34)</f>
        <v>30.991735537190085</v>
      </c>
      <c r="X33" s="32">
        <f>IF(D8="",0,'Consumption Inputs'!$D$34)</f>
        <v>14.68384074941452</v>
      </c>
      <c r="Y33" s="32">
        <f>IF(D8="",0,'Consumption Inputs'!$F$34)</f>
        <v>15</v>
      </c>
      <c r="Z33" s="32">
        <f>IF(D8="",0,'Consumption Inputs'!$B$38)</f>
        <v>12.396694214876034</v>
      </c>
      <c r="AA33" s="32">
        <f>IF(D8="",0,'Consumption Inputs'!$D$38)</f>
        <v>5.8735362997658083</v>
      </c>
      <c r="AB33" s="31">
        <f>IF(D8="",0,'Consumption Inputs'!$F$38)</f>
        <v>6</v>
      </c>
      <c r="AC33" s="31">
        <f>IF(D8="",0,VLOOKUP($O8,'Consumption Inputs'!$A$40:$I$117,8))</f>
        <v>0</v>
      </c>
      <c r="AD33" s="31">
        <f>IF(D8="",0,VLOOKUP($O8,'Consumption Inputs'!$A$40:$I$117,9))</f>
        <v>0.69000000000000006</v>
      </c>
      <c r="AE33" s="34">
        <f>IF(D8="",0,'Consumption Inputs'!$B$18)</f>
        <v>0.1</v>
      </c>
    </row>
    <row r="34" spans="1:31" ht="20.100000000000001" hidden="1" customHeight="1" x14ac:dyDescent="0.2">
      <c r="A34" s="39">
        <f t="shared" si="11"/>
        <v>5</v>
      </c>
      <c r="B34" s="31">
        <f>IF(D9="",0,VLOOKUP($O9,'Consumption Inputs'!$A$40:$I$117,2))</f>
        <v>84.710743801652896</v>
      </c>
      <c r="C34" s="31">
        <f>IF(D9="",0,VLOOKUP($O9,'Consumption Inputs'!$A$40:$I$117,4))</f>
        <v>40.13583138173302</v>
      </c>
      <c r="D34" s="31">
        <f>IF(D9="",0,VLOOKUP($O9,'Consumption Inputs'!$A$40:$I$117,6))</f>
        <v>41</v>
      </c>
      <c r="E34" s="31">
        <f>IF(D9="",0,VLOOKUP($O9,'Consumption Inputs'!$A$40:$I$117,3))</f>
        <v>86.776859504132233</v>
      </c>
      <c r="F34" s="31">
        <f>IF(D9="",0,VLOOKUP($O9,'Consumption Inputs'!$A$40:$I$117,5))</f>
        <v>41.114754098360656</v>
      </c>
      <c r="G34" s="31">
        <f>IF(D9="",0,VLOOKUP($O9,'Consumption Inputs'!$A$40:$I$117,7))</f>
        <v>42.000000000000007</v>
      </c>
      <c r="H34" s="32">
        <f>IF(D9="",0,'Consumption Inputs'!$B$36)</f>
        <v>55.785123966942152</v>
      </c>
      <c r="I34" s="32">
        <f>IF(D9="",0,'Consumption Inputs'!$D$36)</f>
        <v>26.430913348946135</v>
      </c>
      <c r="J34" s="32">
        <f>IF(D9="",0,'Consumption Inputs'!$F$36)</f>
        <v>27</v>
      </c>
      <c r="K34" s="32">
        <f>IF(D9="",0,'Consumption Inputs'!$B$37)</f>
        <v>90.909090909090907</v>
      </c>
      <c r="L34" s="32">
        <f>IF(D9="",0,'Consumption Inputs'!$D$37)</f>
        <v>43.072599531615921</v>
      </c>
      <c r="M34" s="32">
        <f>IF(D9="",0,'Consumption Inputs'!$F$37)</f>
        <v>44</v>
      </c>
      <c r="N34" s="32">
        <f>IF(D9="",0,'Consumption Inputs'!$B$42)</f>
        <v>84.710743801652896</v>
      </c>
      <c r="O34" s="32">
        <f>IF(D9="",0,'Consumption Inputs'!$D$42)</f>
        <v>40.13583138173302</v>
      </c>
      <c r="P34" s="32">
        <f>IF(D9="",0,'Consumption Inputs'!$F$42)</f>
        <v>41</v>
      </c>
      <c r="Q34" s="32">
        <f>IF(D9="",0,'Consumption Inputs'!$B$34)</f>
        <v>30.991735537190085</v>
      </c>
      <c r="R34" s="32">
        <f>IF(D9="",0,'Consumption Inputs'!$D$34)</f>
        <v>14.68384074941452</v>
      </c>
      <c r="S34" s="32">
        <f>IF(D9="",0,'Consumption Inputs'!$F$34)</f>
        <v>15</v>
      </c>
      <c r="T34" s="32">
        <f>IF(D9="",0,'Consumption Inputs'!$B$35)</f>
        <v>30.991735537190085</v>
      </c>
      <c r="U34" s="32">
        <f>IF(D9="",0,'Consumption Inputs'!$D$35)</f>
        <v>14.68384074941452</v>
      </c>
      <c r="V34" s="32">
        <f>IF(D9="",0,'Consumption Inputs'!$F$35)</f>
        <v>15</v>
      </c>
      <c r="W34" s="32">
        <f>IF(D9="",0,'Consumption Inputs'!$B$34)</f>
        <v>30.991735537190085</v>
      </c>
      <c r="X34" s="32">
        <f>IF(D9="",0,'Consumption Inputs'!$D$34)</f>
        <v>14.68384074941452</v>
      </c>
      <c r="Y34" s="32">
        <f>IF(D9="",0,'Consumption Inputs'!$F$34)</f>
        <v>15</v>
      </c>
      <c r="Z34" s="32">
        <f>IF(D9="",0,'Consumption Inputs'!$B$38)</f>
        <v>12.396694214876034</v>
      </c>
      <c r="AA34" s="32">
        <f>IF(D9="",0,'Consumption Inputs'!$D$38)</f>
        <v>5.8735362997658083</v>
      </c>
      <c r="AB34" s="31">
        <f>IF(D9="",0,'Consumption Inputs'!$F$38)</f>
        <v>6</v>
      </c>
      <c r="AC34" s="31">
        <f>IF(D9="",0,VLOOKUP($O9,'Consumption Inputs'!$A$40:$I$117,8))</f>
        <v>2.5</v>
      </c>
      <c r="AD34" s="31">
        <f>IF(D9="",0,VLOOKUP($O9,'Consumption Inputs'!$A$40:$I$117,9))</f>
        <v>0.6</v>
      </c>
      <c r="AE34" s="34">
        <f>IF(D9="",0,'Consumption Inputs'!$B$18)</f>
        <v>0.1</v>
      </c>
    </row>
    <row r="35" spans="1:31" ht="20.100000000000001" hidden="1" customHeight="1" x14ac:dyDescent="0.2">
      <c r="A35" s="39">
        <f t="shared" si="11"/>
        <v>6</v>
      </c>
      <c r="B35" s="31">
        <f>IF(D10="",0,VLOOKUP($O10,'Consumption Inputs'!$A$40:$I$117,2))</f>
        <v>84.710743801652896</v>
      </c>
      <c r="C35" s="31">
        <f>IF(D10="",0,VLOOKUP($O10,'Consumption Inputs'!$A$40:$I$117,4))</f>
        <v>40.13583138173302</v>
      </c>
      <c r="D35" s="31">
        <f>IF(D10="",0,VLOOKUP($O10,'Consumption Inputs'!$A$40:$I$117,6))</f>
        <v>41</v>
      </c>
      <c r="E35" s="31">
        <f>IF(D10="",0,VLOOKUP($O10,'Consumption Inputs'!$A$40:$I$117,3))</f>
        <v>86.776859504132233</v>
      </c>
      <c r="F35" s="31">
        <f>IF(D10="",0,VLOOKUP($O10,'Consumption Inputs'!$A$40:$I$117,5))</f>
        <v>41.114754098360656</v>
      </c>
      <c r="G35" s="31">
        <f>IF(D10="",0,VLOOKUP($O10,'Consumption Inputs'!$A$40:$I$117,7))</f>
        <v>42.000000000000007</v>
      </c>
      <c r="H35" s="32">
        <f>IF(D10="",0,'Consumption Inputs'!$B$36)</f>
        <v>55.785123966942152</v>
      </c>
      <c r="I35" s="32">
        <f>IF(D10="",0,'Consumption Inputs'!$D$36)</f>
        <v>26.430913348946135</v>
      </c>
      <c r="J35" s="32">
        <f>IF(D10="",0,'Consumption Inputs'!$F$36)</f>
        <v>27</v>
      </c>
      <c r="K35" s="32">
        <f>IF(D10="",0,'Consumption Inputs'!$B$37)</f>
        <v>90.909090909090907</v>
      </c>
      <c r="L35" s="32">
        <f>IF(D10="",0,'Consumption Inputs'!$D$37)</f>
        <v>43.072599531615921</v>
      </c>
      <c r="M35" s="32">
        <f>IF(D10="",0,'Consumption Inputs'!$F$37)</f>
        <v>44</v>
      </c>
      <c r="N35" s="32">
        <f>IF(D10="",0,'Consumption Inputs'!$B$42)</f>
        <v>84.710743801652896</v>
      </c>
      <c r="O35" s="32">
        <f>IF(D10="",0,'Consumption Inputs'!$D$42)</f>
        <v>40.13583138173302</v>
      </c>
      <c r="P35" s="32">
        <f>IF(D10="",0,'Consumption Inputs'!$F$42)</f>
        <v>41</v>
      </c>
      <c r="Q35" s="32">
        <f>IF(D10="",0,'Consumption Inputs'!$B$34)</f>
        <v>30.991735537190085</v>
      </c>
      <c r="R35" s="32">
        <f>IF(D10="",0,'Consumption Inputs'!$D$34)</f>
        <v>14.68384074941452</v>
      </c>
      <c r="S35" s="32">
        <f>IF(D10="",0,'Consumption Inputs'!$F$34)</f>
        <v>15</v>
      </c>
      <c r="T35" s="32">
        <f>IF(D10="",0,'Consumption Inputs'!$B$35)</f>
        <v>30.991735537190085</v>
      </c>
      <c r="U35" s="32">
        <f>IF(D10="",0,'Consumption Inputs'!$D$35)</f>
        <v>14.68384074941452</v>
      </c>
      <c r="V35" s="32">
        <f>IF(D10="",0,'Consumption Inputs'!$F$35)</f>
        <v>15</v>
      </c>
      <c r="W35" s="32">
        <f>IF(D10="",0,'Consumption Inputs'!$B$34)</f>
        <v>30.991735537190085</v>
      </c>
      <c r="X35" s="32">
        <f>IF(D10="",0,'Consumption Inputs'!$D$34)</f>
        <v>14.68384074941452</v>
      </c>
      <c r="Y35" s="32">
        <f>IF(D10="",0,'Consumption Inputs'!$F$34)</f>
        <v>15</v>
      </c>
      <c r="Z35" s="32">
        <f>IF(D10="",0,'Consumption Inputs'!$B$38)</f>
        <v>12.396694214876034</v>
      </c>
      <c r="AA35" s="32">
        <f>IF(D10="",0,'Consumption Inputs'!$D$38)</f>
        <v>5.8735362997658083</v>
      </c>
      <c r="AB35" s="31">
        <f>IF(D10="",0,'Consumption Inputs'!$F$38)</f>
        <v>6</v>
      </c>
      <c r="AC35" s="31">
        <f>IF(D10="",0,VLOOKUP($O10,'Consumption Inputs'!$A$40:$I$117,8))</f>
        <v>2.5</v>
      </c>
      <c r="AD35" s="31">
        <f>IF(D10="",0,VLOOKUP($O10,'Consumption Inputs'!$A$40:$I$117,9))</f>
        <v>0.6</v>
      </c>
      <c r="AE35" s="34">
        <f>IF(D10="",0,'Consumption Inputs'!$B$18)</f>
        <v>0.1</v>
      </c>
    </row>
    <row r="36" spans="1:31" ht="20.100000000000001" hidden="1" customHeight="1" x14ac:dyDescent="0.2">
      <c r="A36" s="39">
        <f t="shared" si="11"/>
        <v>7</v>
      </c>
      <c r="B36" s="31">
        <f>IF(D11="",0,VLOOKUP($O11,'Consumption Inputs'!$A$40:$I$117,2))</f>
        <v>84.710743801652896</v>
      </c>
      <c r="C36" s="31">
        <f>IF(D11="",0,VLOOKUP($O11,'Consumption Inputs'!$A$40:$I$117,4))</f>
        <v>40.13583138173302</v>
      </c>
      <c r="D36" s="31">
        <f>IF(D11="",0,VLOOKUP($O11,'Consumption Inputs'!$A$40:$I$117,6))</f>
        <v>41</v>
      </c>
      <c r="E36" s="31">
        <f>IF(D11="",0,VLOOKUP($O11,'Consumption Inputs'!$A$40:$I$117,3))</f>
        <v>86.776859504132233</v>
      </c>
      <c r="F36" s="31">
        <f>IF(D11="",0,VLOOKUP($O11,'Consumption Inputs'!$A$40:$I$117,5))</f>
        <v>41.114754098360656</v>
      </c>
      <c r="G36" s="31">
        <f>IF(D11="",0,VLOOKUP($O11,'Consumption Inputs'!$A$40:$I$117,7))</f>
        <v>42.000000000000007</v>
      </c>
      <c r="H36" s="32">
        <f>IF(D11="",0,'Consumption Inputs'!$B$36)</f>
        <v>55.785123966942152</v>
      </c>
      <c r="I36" s="32">
        <f>IF(D11="",0,'Consumption Inputs'!$D$36)</f>
        <v>26.430913348946135</v>
      </c>
      <c r="J36" s="32">
        <f>IF(D11="",0,'Consumption Inputs'!$F$36)</f>
        <v>27</v>
      </c>
      <c r="K36" s="32">
        <f>IF(D11="",0,'Consumption Inputs'!$B$37)</f>
        <v>90.909090909090907</v>
      </c>
      <c r="L36" s="32">
        <f>IF(D11="",0,'Consumption Inputs'!$D$37)</f>
        <v>43.072599531615921</v>
      </c>
      <c r="M36" s="32">
        <f>IF(D11="",0,'Consumption Inputs'!$F$37)</f>
        <v>44</v>
      </c>
      <c r="N36" s="32">
        <f>IF(D11="",0,'Consumption Inputs'!$B$42)</f>
        <v>84.710743801652896</v>
      </c>
      <c r="O36" s="32">
        <f>IF(D11="",0,'Consumption Inputs'!$D$42)</f>
        <v>40.13583138173302</v>
      </c>
      <c r="P36" s="32">
        <f>IF(D11="",0,'Consumption Inputs'!$F$42)</f>
        <v>41</v>
      </c>
      <c r="Q36" s="32">
        <f>IF(D11="",0,'Consumption Inputs'!$B$34)</f>
        <v>30.991735537190085</v>
      </c>
      <c r="R36" s="32">
        <f>IF(D11="",0,'Consumption Inputs'!$D$34)</f>
        <v>14.68384074941452</v>
      </c>
      <c r="S36" s="32">
        <f>IF(D11="",0,'Consumption Inputs'!$F$34)</f>
        <v>15</v>
      </c>
      <c r="T36" s="32">
        <f>IF(D11="",0,'Consumption Inputs'!$B$35)</f>
        <v>30.991735537190085</v>
      </c>
      <c r="U36" s="32">
        <f>IF(D11="",0,'Consumption Inputs'!$D$35)</f>
        <v>14.68384074941452</v>
      </c>
      <c r="V36" s="32">
        <f>IF(D11="",0,'Consumption Inputs'!$F$35)</f>
        <v>15</v>
      </c>
      <c r="W36" s="32">
        <f>IF(D11="",0,'Consumption Inputs'!$B$34)</f>
        <v>30.991735537190085</v>
      </c>
      <c r="X36" s="32">
        <f>IF(D11="",0,'Consumption Inputs'!$D$34)</f>
        <v>14.68384074941452</v>
      </c>
      <c r="Y36" s="32">
        <f>IF(D11="",0,'Consumption Inputs'!$F$34)</f>
        <v>15</v>
      </c>
      <c r="Z36" s="32">
        <f>IF(D11="",0,'Consumption Inputs'!$B$38)</f>
        <v>12.396694214876034</v>
      </c>
      <c r="AA36" s="32">
        <f>IF(D11="",0,'Consumption Inputs'!$D$38)</f>
        <v>5.8735362997658083</v>
      </c>
      <c r="AB36" s="31">
        <f>IF(D11="",0,'Consumption Inputs'!$F$38)</f>
        <v>6</v>
      </c>
      <c r="AC36" s="31">
        <f>IF(D11="",0,VLOOKUP($O11,'Consumption Inputs'!$A$40:$I$117,8))</f>
        <v>2.5</v>
      </c>
      <c r="AD36" s="31">
        <f>IF(D11="",0,VLOOKUP($O11,'Consumption Inputs'!$A$40:$I$117,9))</f>
        <v>0.6</v>
      </c>
      <c r="AE36" s="34">
        <f>IF(D11="",0,'Consumption Inputs'!$B$18)</f>
        <v>0.1</v>
      </c>
    </row>
    <row r="37" spans="1:31" ht="20.100000000000001" hidden="1" customHeight="1" x14ac:dyDescent="0.2">
      <c r="A37" s="39">
        <f t="shared" si="11"/>
        <v>8</v>
      </c>
      <c r="B37" s="31">
        <f>IF(D12="",0,VLOOKUP($O12,'Consumption Inputs'!$A$40:$I$117,2))</f>
        <v>0</v>
      </c>
      <c r="C37" s="31">
        <f>IF(D12="",0,VLOOKUP($O12,'Consumption Inputs'!$A$40:$I$117,4))</f>
        <v>0</v>
      </c>
      <c r="D37" s="31">
        <f>IF(D12="",0,VLOOKUP($O12,'Consumption Inputs'!$A$40:$I$117,6))</f>
        <v>0</v>
      </c>
      <c r="E37" s="31">
        <f>IF(D12="",0,VLOOKUP($O12,'Consumption Inputs'!$A$40:$I$117,3))</f>
        <v>0</v>
      </c>
      <c r="F37" s="31">
        <f>IF(D12="",0,VLOOKUP($O12,'Consumption Inputs'!$A$40:$I$117,5))</f>
        <v>0</v>
      </c>
      <c r="G37" s="31">
        <f>IF(D12="",0,VLOOKUP($O12,'Consumption Inputs'!$A$40:$I$117,7))</f>
        <v>0</v>
      </c>
      <c r="H37" s="32">
        <f>IF(D12="",0,'Consumption Inputs'!$B$36)</f>
        <v>0</v>
      </c>
      <c r="I37" s="32">
        <f>IF(D12="",0,'Consumption Inputs'!$D$36)</f>
        <v>0</v>
      </c>
      <c r="J37" s="32">
        <f>IF(D12="",0,'Consumption Inputs'!$F$36)</f>
        <v>0</v>
      </c>
      <c r="K37" s="32">
        <f>IF(D12="",0,'Consumption Inputs'!$B$37)</f>
        <v>0</v>
      </c>
      <c r="L37" s="32">
        <f>IF(D12="",0,'Consumption Inputs'!$D$37)</f>
        <v>0</v>
      </c>
      <c r="M37" s="32">
        <f>IF(D12="",0,'Consumption Inputs'!$F$37)</f>
        <v>0</v>
      </c>
      <c r="N37" s="32">
        <f>IF(D12="",0,'Consumption Inputs'!$B$42)</f>
        <v>0</v>
      </c>
      <c r="O37" s="32">
        <f>IF(D12="",0,'Consumption Inputs'!$D$42)</f>
        <v>0</v>
      </c>
      <c r="P37" s="32">
        <f>IF(D12="",0,'Consumption Inputs'!$F$42)</f>
        <v>0</v>
      </c>
      <c r="Q37" s="32">
        <f>IF(D12="",0,'Consumption Inputs'!$B$34)</f>
        <v>0</v>
      </c>
      <c r="R37" s="32">
        <f>IF(D12="",0,'Consumption Inputs'!$D$34)</f>
        <v>0</v>
      </c>
      <c r="S37" s="32">
        <f>IF(D12="",0,'Consumption Inputs'!$F$34)</f>
        <v>0</v>
      </c>
      <c r="T37" s="32">
        <f>IF(D12="",0,'Consumption Inputs'!$B$35)</f>
        <v>0</v>
      </c>
      <c r="U37" s="32">
        <f>IF(D12="",0,'Consumption Inputs'!$D$35)</f>
        <v>0</v>
      </c>
      <c r="V37" s="32">
        <f>IF(D12="",0,'Consumption Inputs'!$F$35)</f>
        <v>0</v>
      </c>
      <c r="W37" s="32">
        <f>IF(D12="",0,'Consumption Inputs'!$B$34)</f>
        <v>0</v>
      </c>
      <c r="X37" s="32">
        <f>IF(D12="",0,'Consumption Inputs'!$D$34)</f>
        <v>0</v>
      </c>
      <c r="Y37" s="32">
        <f>IF(D12="",0,'Consumption Inputs'!$F$34)</f>
        <v>0</v>
      </c>
      <c r="Z37" s="32">
        <f>IF(D12="",0,'Consumption Inputs'!$B$38)</f>
        <v>0</v>
      </c>
      <c r="AA37" s="32">
        <f>IF(D12="",0,'Consumption Inputs'!$D$38)</f>
        <v>0</v>
      </c>
      <c r="AB37" s="31">
        <f>IF(D12="",0,'Consumption Inputs'!$F$38)</f>
        <v>0</v>
      </c>
      <c r="AC37" s="31">
        <f>IF(D12="",0,VLOOKUP($O12,'Consumption Inputs'!$A$40:$I$117,8))</f>
        <v>0</v>
      </c>
      <c r="AD37" s="31">
        <f>IF(D12="",0,VLOOKUP($O12,'Consumption Inputs'!$A$40:$I$117,9))</f>
        <v>0</v>
      </c>
      <c r="AE37" s="34">
        <f>IF(D12="",0,'Consumption Inputs'!$B$18)</f>
        <v>0</v>
      </c>
    </row>
    <row r="38" spans="1:31" ht="20.100000000000001" hidden="1" customHeight="1" x14ac:dyDescent="0.2">
      <c r="A38" s="39">
        <f t="shared" si="11"/>
        <v>9</v>
      </c>
      <c r="B38" s="31">
        <f>IF(D13="",0,VLOOKUP($O13,'Consumption Inputs'!$A$40:$I$117,2))</f>
        <v>0</v>
      </c>
      <c r="C38" s="31">
        <f>IF(D13="",0,VLOOKUP($O13,'Consumption Inputs'!$A$40:$I$117,4))</f>
        <v>0</v>
      </c>
      <c r="D38" s="31">
        <f>IF(D13="",0,VLOOKUP($O13,'Consumption Inputs'!$A$40:$I$117,6))</f>
        <v>0</v>
      </c>
      <c r="E38" s="31">
        <f>IF(D13="",0,VLOOKUP($O13,'Consumption Inputs'!$A$40:$I$117,3))</f>
        <v>0</v>
      </c>
      <c r="F38" s="31">
        <f>IF(D13="",0,VLOOKUP($O13,'Consumption Inputs'!$A$40:$I$117,5))</f>
        <v>0</v>
      </c>
      <c r="G38" s="31">
        <f>IF(D13="",0,VLOOKUP($O13,'Consumption Inputs'!$A$40:$I$117,7))</f>
        <v>0</v>
      </c>
      <c r="H38" s="32">
        <f>IF(D13="",0,'Consumption Inputs'!$B$36)</f>
        <v>0</v>
      </c>
      <c r="I38" s="32">
        <f>IF(D13="",0,'Consumption Inputs'!$D$36)</f>
        <v>0</v>
      </c>
      <c r="J38" s="32">
        <f>IF(D13="",0,'Consumption Inputs'!$F$36)</f>
        <v>0</v>
      </c>
      <c r="K38" s="32">
        <f>IF(D13="",0,'Consumption Inputs'!$B$37)</f>
        <v>0</v>
      </c>
      <c r="L38" s="32">
        <f>IF(D13="",0,'Consumption Inputs'!$D$37)</f>
        <v>0</v>
      </c>
      <c r="M38" s="32">
        <f>IF(D13="",0,'Consumption Inputs'!$F$37)</f>
        <v>0</v>
      </c>
      <c r="N38" s="32">
        <f>IF(D13="",0,'Consumption Inputs'!$B$42)</f>
        <v>0</v>
      </c>
      <c r="O38" s="32">
        <f>IF(D13="",0,'Consumption Inputs'!$D$42)</f>
        <v>0</v>
      </c>
      <c r="P38" s="32">
        <f>IF(D13="",0,'Consumption Inputs'!$F$42)</f>
        <v>0</v>
      </c>
      <c r="Q38" s="32">
        <f>IF(D13="",0,'Consumption Inputs'!$B$34)</f>
        <v>0</v>
      </c>
      <c r="R38" s="32">
        <f>IF(D13="",0,'Consumption Inputs'!$D$34)</f>
        <v>0</v>
      </c>
      <c r="S38" s="32">
        <f>IF(D13="",0,'Consumption Inputs'!$F$34)</f>
        <v>0</v>
      </c>
      <c r="T38" s="32">
        <f>IF(D13="",0,'Consumption Inputs'!$B$35)</f>
        <v>0</v>
      </c>
      <c r="U38" s="32">
        <f>IF(D13="",0,'Consumption Inputs'!$D$35)</f>
        <v>0</v>
      </c>
      <c r="V38" s="32">
        <f>IF(D13="",0,'Consumption Inputs'!$F$35)</f>
        <v>0</v>
      </c>
      <c r="W38" s="32">
        <f>IF(D13="",0,'Consumption Inputs'!$B$34)</f>
        <v>0</v>
      </c>
      <c r="X38" s="32">
        <f>IF(D13="",0,'Consumption Inputs'!$D$34)</f>
        <v>0</v>
      </c>
      <c r="Y38" s="32">
        <f>IF(D13="",0,'Consumption Inputs'!$F$34)</f>
        <v>0</v>
      </c>
      <c r="Z38" s="32">
        <f>IF(D13="",0,'Consumption Inputs'!$B$38)</f>
        <v>0</v>
      </c>
      <c r="AA38" s="32">
        <f>IF(D13="",0,'Consumption Inputs'!$D$38)</f>
        <v>0</v>
      </c>
      <c r="AB38" s="31">
        <f>IF(D13="",0,'Consumption Inputs'!$F$38)</f>
        <v>0</v>
      </c>
      <c r="AC38" s="31">
        <f>IF(D13="",0,VLOOKUP($O13,'Consumption Inputs'!$A$40:$I$117,8))</f>
        <v>0</v>
      </c>
      <c r="AD38" s="31">
        <f>IF(D13="",0,VLOOKUP($O13,'Consumption Inputs'!$A$40:$I$117,9))</f>
        <v>0</v>
      </c>
      <c r="AE38" s="34">
        <f>IF(D13="",0,'Consumption Inputs'!$B$18)</f>
        <v>0</v>
      </c>
    </row>
    <row r="39" spans="1:31" ht="20.100000000000001" hidden="1" customHeight="1" x14ac:dyDescent="0.2">
      <c r="A39" s="39">
        <f t="shared" si="11"/>
        <v>10</v>
      </c>
      <c r="B39" s="31">
        <f>IF(D14="",0,VLOOKUP($O14,'Consumption Inputs'!$A$40:$I$117,2))</f>
        <v>0</v>
      </c>
      <c r="C39" s="31">
        <f>IF(D14="",0,VLOOKUP($O14,'Consumption Inputs'!$A$40:$I$117,4))</f>
        <v>0</v>
      </c>
      <c r="D39" s="31">
        <f>IF(D14="",0,VLOOKUP($O14,'Consumption Inputs'!$A$40:$I$117,6))</f>
        <v>0</v>
      </c>
      <c r="E39" s="31">
        <f>IF(D14="",0,VLOOKUP($O14,'Consumption Inputs'!$A$40:$I$117,3))</f>
        <v>0</v>
      </c>
      <c r="F39" s="31">
        <f>IF(D14="",0,VLOOKUP($O14,'Consumption Inputs'!$A$40:$I$117,5))</f>
        <v>0</v>
      </c>
      <c r="G39" s="31">
        <f>IF(D14="",0,VLOOKUP($O14,'Consumption Inputs'!$A$40:$I$117,7))</f>
        <v>0</v>
      </c>
      <c r="H39" s="32">
        <f>IF(D14="",0,'Consumption Inputs'!$B$36)</f>
        <v>0</v>
      </c>
      <c r="I39" s="32">
        <f>IF(D14="",0,'Consumption Inputs'!$D$36)</f>
        <v>0</v>
      </c>
      <c r="J39" s="32">
        <f>IF(D14="",0,'Consumption Inputs'!$F$36)</f>
        <v>0</v>
      </c>
      <c r="K39" s="32">
        <f>IF(D14="",0,'Consumption Inputs'!$B$37)</f>
        <v>0</v>
      </c>
      <c r="L39" s="32">
        <f>IF(D14="",0,'Consumption Inputs'!$D$37)</f>
        <v>0</v>
      </c>
      <c r="M39" s="32">
        <f>IF(D14="",0,'Consumption Inputs'!$F$37)</f>
        <v>0</v>
      </c>
      <c r="N39" s="32">
        <f>IF(D14="",0,'Consumption Inputs'!$B$42)</f>
        <v>0</v>
      </c>
      <c r="O39" s="32">
        <f>IF(D14="",0,'Consumption Inputs'!$D$42)</f>
        <v>0</v>
      </c>
      <c r="P39" s="32">
        <f>IF(D14="",0,'Consumption Inputs'!$F$42)</f>
        <v>0</v>
      </c>
      <c r="Q39" s="32">
        <f>IF(D14="",0,'Consumption Inputs'!$B$34)</f>
        <v>0</v>
      </c>
      <c r="R39" s="32">
        <f>IF(D14="",0,'Consumption Inputs'!$D$34)</f>
        <v>0</v>
      </c>
      <c r="S39" s="32">
        <f>IF(D14="",0,'Consumption Inputs'!$F$34)</f>
        <v>0</v>
      </c>
      <c r="T39" s="32">
        <f>IF(D14="",0,'Consumption Inputs'!$B$35)</f>
        <v>0</v>
      </c>
      <c r="U39" s="32">
        <f>IF(D14="",0,'Consumption Inputs'!$D$35)</f>
        <v>0</v>
      </c>
      <c r="V39" s="32">
        <f>IF(D14="",0,'Consumption Inputs'!$F$35)</f>
        <v>0</v>
      </c>
      <c r="W39" s="32">
        <f>IF(D14="",0,'Consumption Inputs'!$B$34)</f>
        <v>0</v>
      </c>
      <c r="X39" s="32">
        <f>IF(D14="",0,'Consumption Inputs'!$D$34)</f>
        <v>0</v>
      </c>
      <c r="Y39" s="32">
        <f>IF(D14="",0,'Consumption Inputs'!$F$34)</f>
        <v>0</v>
      </c>
      <c r="Z39" s="32">
        <f>IF(D14="",0,'Consumption Inputs'!$B$38)</f>
        <v>0</v>
      </c>
      <c r="AA39" s="32">
        <f>IF(D14="",0,'Consumption Inputs'!$D$38)</f>
        <v>0</v>
      </c>
      <c r="AB39" s="31">
        <f>IF(D14="",0,'Consumption Inputs'!$F$38)</f>
        <v>0</v>
      </c>
      <c r="AC39" s="31">
        <f>IF(D14="",0,VLOOKUP($O14,'Consumption Inputs'!$A$40:$I$117,8))</f>
        <v>0</v>
      </c>
      <c r="AD39" s="31">
        <f>IF(D14="",0,VLOOKUP($O14,'Consumption Inputs'!$A$40:$I$117,9))</f>
        <v>0</v>
      </c>
      <c r="AE39" s="34">
        <f>IF(D14="",0,'Consumption Inputs'!$B$18)</f>
        <v>0</v>
      </c>
    </row>
    <row r="40" spans="1:31" ht="20.100000000000001" hidden="1" customHeight="1" x14ac:dyDescent="0.2">
      <c r="A40" s="39">
        <f t="shared" si="11"/>
        <v>11</v>
      </c>
      <c r="B40" s="31">
        <f>IF(D15="",0,VLOOKUP($O15,'Consumption Inputs'!$A$40:$I$117,2))</f>
        <v>0</v>
      </c>
      <c r="C40" s="31">
        <f>IF(D15="",0,VLOOKUP($O15,'Consumption Inputs'!$A$40:$I$117,4))</f>
        <v>0</v>
      </c>
      <c r="D40" s="31">
        <f>IF(D15="",0,VLOOKUP($O15,'Consumption Inputs'!$A$40:$I$117,6))</f>
        <v>0</v>
      </c>
      <c r="E40" s="31">
        <f>IF(D15="",0,VLOOKUP($O15,'Consumption Inputs'!$A$40:$I$117,3))</f>
        <v>0</v>
      </c>
      <c r="F40" s="31">
        <f>IF(D15="",0,VLOOKUP($O15,'Consumption Inputs'!$A$40:$I$117,5))</f>
        <v>0</v>
      </c>
      <c r="G40" s="31">
        <f>IF(D15="",0,VLOOKUP($O15,'Consumption Inputs'!$A$40:$I$117,7))</f>
        <v>0</v>
      </c>
      <c r="H40" s="32">
        <f>IF(D15="",0,'Consumption Inputs'!$B$36)</f>
        <v>0</v>
      </c>
      <c r="I40" s="32">
        <f>IF(D15="",0,'Consumption Inputs'!$D$36)</f>
        <v>0</v>
      </c>
      <c r="J40" s="32">
        <f>IF(D15="",0,'Consumption Inputs'!$F$36)</f>
        <v>0</v>
      </c>
      <c r="K40" s="32">
        <f>IF(D15="",0,'Consumption Inputs'!$B$37)</f>
        <v>0</v>
      </c>
      <c r="L40" s="32">
        <f>IF(D15="",0,'Consumption Inputs'!$D$37)</f>
        <v>0</v>
      </c>
      <c r="M40" s="32">
        <f>IF(D15="",0,'Consumption Inputs'!$F$37)</f>
        <v>0</v>
      </c>
      <c r="N40" s="32">
        <f>IF(D15="",0,'Consumption Inputs'!$B$42)</f>
        <v>0</v>
      </c>
      <c r="O40" s="32">
        <f>IF(D15="",0,'Consumption Inputs'!$D$42)</f>
        <v>0</v>
      </c>
      <c r="P40" s="32">
        <f>IF(D15="",0,'Consumption Inputs'!$F$42)</f>
        <v>0</v>
      </c>
      <c r="Q40" s="32">
        <f>IF(D15="",0,'Consumption Inputs'!$B$34)</f>
        <v>0</v>
      </c>
      <c r="R40" s="32">
        <f>IF(D15="",0,'Consumption Inputs'!$D$34)</f>
        <v>0</v>
      </c>
      <c r="S40" s="32">
        <f>IF(D15="",0,'Consumption Inputs'!$F$34)</f>
        <v>0</v>
      </c>
      <c r="T40" s="32">
        <f>IF(D15="",0,'Consumption Inputs'!$B$35)</f>
        <v>0</v>
      </c>
      <c r="U40" s="32">
        <f>IF(D15="",0,'Consumption Inputs'!$D$35)</f>
        <v>0</v>
      </c>
      <c r="V40" s="32">
        <f>IF(D15="",0,'Consumption Inputs'!$F$35)</f>
        <v>0</v>
      </c>
      <c r="W40" s="32">
        <f>IF(D15="",0,'Consumption Inputs'!$B$34)</f>
        <v>0</v>
      </c>
      <c r="X40" s="32">
        <f>IF(D15="",0,'Consumption Inputs'!$D$34)</f>
        <v>0</v>
      </c>
      <c r="Y40" s="32">
        <f>IF(D15="",0,'Consumption Inputs'!$F$34)</f>
        <v>0</v>
      </c>
      <c r="Z40" s="32">
        <f>IF(D15="",0,'Consumption Inputs'!$B$38)</f>
        <v>0</v>
      </c>
      <c r="AA40" s="32">
        <f>IF(D15="",0,'Consumption Inputs'!$D$38)</f>
        <v>0</v>
      </c>
      <c r="AB40" s="31">
        <f>IF(D15="",0,'Consumption Inputs'!$F$38)</f>
        <v>0</v>
      </c>
      <c r="AC40" s="31">
        <f>IF(D15="",0,VLOOKUP($O15,'Consumption Inputs'!$A$40:$I$117,8))</f>
        <v>0</v>
      </c>
      <c r="AD40" s="31">
        <f>IF(D15="",0,VLOOKUP($O15,'Consumption Inputs'!$A$40:$I$117,9))</f>
        <v>0</v>
      </c>
      <c r="AE40" s="34">
        <f>IF(D15="",0,'Consumption Inputs'!$B$18)</f>
        <v>0</v>
      </c>
    </row>
    <row r="41" spans="1:31" ht="20.100000000000001" hidden="1" customHeight="1" x14ac:dyDescent="0.2">
      <c r="A41" s="39">
        <f t="shared" si="11"/>
        <v>12</v>
      </c>
      <c r="B41" s="31">
        <f>IF(D16="",0,VLOOKUP($O16,'Consumption Inputs'!$A$40:$I$117,2))</f>
        <v>0</v>
      </c>
      <c r="C41" s="31">
        <f>IF(D16="",0,VLOOKUP($O16,'Consumption Inputs'!$A$40:$I$117,4))</f>
        <v>0</v>
      </c>
      <c r="D41" s="31">
        <f>IF(D16="",0,VLOOKUP($O16,'Consumption Inputs'!$A$40:$I$117,6))</f>
        <v>0</v>
      </c>
      <c r="E41" s="31">
        <f>IF(D16="",0,VLOOKUP($O16,'Consumption Inputs'!$A$40:$I$117,3))</f>
        <v>0</v>
      </c>
      <c r="F41" s="31">
        <f>IF(D16="",0,VLOOKUP($O16,'Consumption Inputs'!$A$40:$I$117,5))</f>
        <v>0</v>
      </c>
      <c r="G41" s="31">
        <f>IF(D16="",0,VLOOKUP($O16,'Consumption Inputs'!$A$40:$I$117,7))</f>
        <v>0</v>
      </c>
      <c r="H41" s="32">
        <f>IF(D16="",0,'Consumption Inputs'!$B$36)</f>
        <v>0</v>
      </c>
      <c r="I41" s="32">
        <f>IF(D16="",0,'Consumption Inputs'!$D$36)</f>
        <v>0</v>
      </c>
      <c r="J41" s="32">
        <f>IF(D16="",0,'Consumption Inputs'!$F$36)</f>
        <v>0</v>
      </c>
      <c r="K41" s="32">
        <f>IF(D16="",0,'Consumption Inputs'!$B$37)</f>
        <v>0</v>
      </c>
      <c r="L41" s="32">
        <f>IF(D16="",0,'Consumption Inputs'!$D$37)</f>
        <v>0</v>
      </c>
      <c r="M41" s="32">
        <f>IF(D16="",0,'Consumption Inputs'!$F$37)</f>
        <v>0</v>
      </c>
      <c r="N41" s="32">
        <f>IF(D16="",0,'Consumption Inputs'!$B$42)</f>
        <v>0</v>
      </c>
      <c r="O41" s="32">
        <f>IF(D16="",0,'Consumption Inputs'!$D$42)</f>
        <v>0</v>
      </c>
      <c r="P41" s="32">
        <f>IF(D16="",0,'Consumption Inputs'!$F$42)</f>
        <v>0</v>
      </c>
      <c r="Q41" s="32">
        <f>IF(D16="",0,'Consumption Inputs'!$B$34)</f>
        <v>0</v>
      </c>
      <c r="R41" s="32">
        <f>IF(D16="",0,'Consumption Inputs'!$D$34)</f>
        <v>0</v>
      </c>
      <c r="S41" s="32">
        <f>IF(D16="",0,'Consumption Inputs'!$F$34)</f>
        <v>0</v>
      </c>
      <c r="T41" s="32">
        <f>IF(D16="",0,'Consumption Inputs'!$B$35)</f>
        <v>0</v>
      </c>
      <c r="U41" s="32">
        <f>IF(D16="",0,'Consumption Inputs'!$D$35)</f>
        <v>0</v>
      </c>
      <c r="V41" s="32">
        <f>IF(D16="",0,'Consumption Inputs'!$F$35)</f>
        <v>0</v>
      </c>
      <c r="W41" s="32">
        <f>IF(D16="",0,'Consumption Inputs'!$B$34)</f>
        <v>0</v>
      </c>
      <c r="X41" s="32">
        <f>IF(D16="",0,'Consumption Inputs'!$D$34)</f>
        <v>0</v>
      </c>
      <c r="Y41" s="32">
        <f>IF(D16="",0,'Consumption Inputs'!$F$34)</f>
        <v>0</v>
      </c>
      <c r="Z41" s="32">
        <f>IF(D16="",0,'Consumption Inputs'!$B$38)</f>
        <v>0</v>
      </c>
      <c r="AA41" s="32">
        <f>IF(D16="",0,'Consumption Inputs'!$D$38)</f>
        <v>0</v>
      </c>
      <c r="AB41" s="31">
        <f>IF(D16="",0,'Consumption Inputs'!$F$38)</f>
        <v>0</v>
      </c>
      <c r="AC41" s="31">
        <f>IF(D16="",0,VLOOKUP($O16,'Consumption Inputs'!$A$40:$I$117,8))</f>
        <v>0</v>
      </c>
      <c r="AD41" s="31">
        <f>IF(D16="",0,VLOOKUP($O16,'Consumption Inputs'!$A$40:$I$117,9))</f>
        <v>0</v>
      </c>
      <c r="AE41" s="34">
        <f>IF(D16="",0,'Consumption Inputs'!$B$18)</f>
        <v>0</v>
      </c>
    </row>
    <row r="42" spans="1:31" ht="20.100000000000001" hidden="1" customHeight="1" x14ac:dyDescent="0.2">
      <c r="A42" s="39">
        <f t="shared" si="11"/>
        <v>13</v>
      </c>
      <c r="B42" s="31">
        <f>IF(D17="",0,VLOOKUP($O17,'Consumption Inputs'!$A$40:$I$117,2))</f>
        <v>0</v>
      </c>
      <c r="C42" s="31">
        <f>IF(D17="",0,VLOOKUP($O17,'Consumption Inputs'!$A$40:$I$117,4))</f>
        <v>0</v>
      </c>
      <c r="D42" s="31">
        <f>IF(D17="",0,VLOOKUP($O17,'Consumption Inputs'!$A$40:$I$117,6))</f>
        <v>0</v>
      </c>
      <c r="E42" s="31">
        <f>IF(D17="",0,VLOOKUP($O17,'Consumption Inputs'!$A$40:$I$117,3))</f>
        <v>0</v>
      </c>
      <c r="F42" s="31">
        <f>IF(D17="",0,VLOOKUP($O17,'Consumption Inputs'!$A$40:$I$117,5))</f>
        <v>0</v>
      </c>
      <c r="G42" s="31">
        <f>IF(D17="",0,VLOOKUP($O17,'Consumption Inputs'!$A$40:$I$117,7))</f>
        <v>0</v>
      </c>
      <c r="H42" s="32">
        <f>IF(D17="",0,'Consumption Inputs'!$B$36)</f>
        <v>0</v>
      </c>
      <c r="I42" s="32">
        <f>IF(D17="",0,'Consumption Inputs'!$D$36)</f>
        <v>0</v>
      </c>
      <c r="J42" s="32">
        <f>IF(D17="",0,'Consumption Inputs'!$F$36)</f>
        <v>0</v>
      </c>
      <c r="K42" s="32">
        <f>IF(D17="",0,'Consumption Inputs'!$B$37)</f>
        <v>0</v>
      </c>
      <c r="L42" s="32">
        <f>IF(D17="",0,'Consumption Inputs'!$D$37)</f>
        <v>0</v>
      </c>
      <c r="M42" s="32">
        <f>IF(D17="",0,'Consumption Inputs'!$F$37)</f>
        <v>0</v>
      </c>
      <c r="N42" s="32">
        <f>IF(D17="",0,'Consumption Inputs'!$B$42)</f>
        <v>0</v>
      </c>
      <c r="O42" s="32">
        <f>IF(D17="",0,'Consumption Inputs'!$D$42)</f>
        <v>0</v>
      </c>
      <c r="P42" s="32">
        <f>IF(D17="",0,'Consumption Inputs'!$F$42)</f>
        <v>0</v>
      </c>
      <c r="Q42" s="32">
        <f>IF(D17="",0,'Consumption Inputs'!$B$34)</f>
        <v>0</v>
      </c>
      <c r="R42" s="32">
        <f>IF(D17="",0,'Consumption Inputs'!$D$34)</f>
        <v>0</v>
      </c>
      <c r="S42" s="32">
        <f>IF(D17="",0,'Consumption Inputs'!$F$34)</f>
        <v>0</v>
      </c>
      <c r="T42" s="32">
        <f>IF(D17="",0,'Consumption Inputs'!$B$35)</f>
        <v>0</v>
      </c>
      <c r="U42" s="32">
        <f>IF(D17="",0,'Consumption Inputs'!$D$35)</f>
        <v>0</v>
      </c>
      <c r="V42" s="32">
        <f>IF(D17="",0,'Consumption Inputs'!$F$35)</f>
        <v>0</v>
      </c>
      <c r="W42" s="32">
        <f>IF(D17="",0,'Consumption Inputs'!$B$34)</f>
        <v>0</v>
      </c>
      <c r="X42" s="32">
        <f>IF(D17="",0,'Consumption Inputs'!$D$34)</f>
        <v>0</v>
      </c>
      <c r="Y42" s="32">
        <f>IF(D17="",0,'Consumption Inputs'!$F$34)</f>
        <v>0</v>
      </c>
      <c r="Z42" s="32">
        <f>IF(D17="",0,'Consumption Inputs'!$B$38)</f>
        <v>0</v>
      </c>
      <c r="AA42" s="32">
        <f>IF(D17="",0,'Consumption Inputs'!$D$38)</f>
        <v>0</v>
      </c>
      <c r="AB42" s="31">
        <f>IF(D17="",0,'Consumption Inputs'!$F$38)</f>
        <v>0</v>
      </c>
      <c r="AC42" s="31">
        <f>IF(D17="",0,VLOOKUP($O17,'Consumption Inputs'!$A$40:$I$117,8))</f>
        <v>0</v>
      </c>
      <c r="AD42" s="31">
        <f>IF(D17="",0,VLOOKUP($O17,'Consumption Inputs'!$A$40:$I$117,9))</f>
        <v>0</v>
      </c>
      <c r="AE42" s="34">
        <f>IF(D17="",0,'Consumption Inputs'!$B$18)</f>
        <v>0</v>
      </c>
    </row>
    <row r="43" spans="1:31" ht="20.100000000000001" hidden="1" customHeight="1" x14ac:dyDescent="0.2">
      <c r="A43" s="39">
        <f t="shared" si="11"/>
        <v>14</v>
      </c>
      <c r="B43" s="31">
        <f>IF(D18="",0,VLOOKUP($O18,'Consumption Inputs'!$A$40:$I$117,2))</f>
        <v>0</v>
      </c>
      <c r="C43" s="31">
        <f>IF(D18="",0,VLOOKUP($O18,'Consumption Inputs'!$A$40:$I$117,4))</f>
        <v>0</v>
      </c>
      <c r="D43" s="31">
        <f>IF(D18="",0,VLOOKUP($O18,'Consumption Inputs'!$A$40:$I$117,6))</f>
        <v>0</v>
      </c>
      <c r="E43" s="31">
        <f>IF(D18="",0,VLOOKUP($O18,'Consumption Inputs'!$A$40:$I$117,3))</f>
        <v>0</v>
      </c>
      <c r="F43" s="31">
        <f>IF(D18="",0,VLOOKUP($O18,'Consumption Inputs'!$A$40:$I$117,5))</f>
        <v>0</v>
      </c>
      <c r="G43" s="31">
        <f>IF(D18="",0,VLOOKUP($O18,'Consumption Inputs'!$A$40:$I$117,7))</f>
        <v>0</v>
      </c>
      <c r="H43" s="32">
        <f>IF(D18="",0,'Consumption Inputs'!$B$36)</f>
        <v>0</v>
      </c>
      <c r="I43" s="32">
        <f>IF(D18="",0,'Consumption Inputs'!$D$36)</f>
        <v>0</v>
      </c>
      <c r="J43" s="32">
        <f>IF(D18="",0,'Consumption Inputs'!$F$36)</f>
        <v>0</v>
      </c>
      <c r="K43" s="32">
        <f>IF(D18="",0,'Consumption Inputs'!$B$37)</f>
        <v>0</v>
      </c>
      <c r="L43" s="32">
        <f>IF(D18="",0,'Consumption Inputs'!$D$37)</f>
        <v>0</v>
      </c>
      <c r="M43" s="32">
        <f>IF(D18="",0,'Consumption Inputs'!$F$37)</f>
        <v>0</v>
      </c>
      <c r="N43" s="32">
        <f>IF(D18="",0,'Consumption Inputs'!$B$42)</f>
        <v>0</v>
      </c>
      <c r="O43" s="32">
        <f>IF(D18="",0,'Consumption Inputs'!$D$42)</f>
        <v>0</v>
      </c>
      <c r="P43" s="32">
        <f>IF(D18="",0,'Consumption Inputs'!$F$42)</f>
        <v>0</v>
      </c>
      <c r="Q43" s="32">
        <f>IF(D18="",0,'Consumption Inputs'!$B$34)</f>
        <v>0</v>
      </c>
      <c r="R43" s="32">
        <f>IF(D18="",0,'Consumption Inputs'!$D$34)</f>
        <v>0</v>
      </c>
      <c r="S43" s="32">
        <f>IF(D18="",0,'Consumption Inputs'!$F$34)</f>
        <v>0</v>
      </c>
      <c r="T43" s="32">
        <f>IF(D18="",0,'Consumption Inputs'!$B$35)</f>
        <v>0</v>
      </c>
      <c r="U43" s="32">
        <f>IF(D18="",0,'Consumption Inputs'!$D$35)</f>
        <v>0</v>
      </c>
      <c r="V43" s="32">
        <f>IF(D18="",0,'Consumption Inputs'!$F$35)</f>
        <v>0</v>
      </c>
      <c r="W43" s="32">
        <f>IF(D18="",0,'Consumption Inputs'!$B$34)</f>
        <v>0</v>
      </c>
      <c r="X43" s="32">
        <f>IF(D18="",0,'Consumption Inputs'!$D$34)</f>
        <v>0</v>
      </c>
      <c r="Y43" s="32">
        <f>IF(D18="",0,'Consumption Inputs'!$F$34)</f>
        <v>0</v>
      </c>
      <c r="Z43" s="32">
        <f>IF(D18="",0,'Consumption Inputs'!$B$38)</f>
        <v>0</v>
      </c>
      <c r="AA43" s="32">
        <f>IF(D18="",0,'Consumption Inputs'!$D$38)</f>
        <v>0</v>
      </c>
      <c r="AB43" s="31">
        <f>IF(D18="",0,'Consumption Inputs'!$F$38)</f>
        <v>0</v>
      </c>
      <c r="AC43" s="31">
        <f>IF(D18="",0,VLOOKUP($O18,'Consumption Inputs'!$A$40:$I$117,8))</f>
        <v>0</v>
      </c>
      <c r="AD43" s="31">
        <f>IF(D18="",0,VLOOKUP($O18,'Consumption Inputs'!$A$40:$I$117,9))</f>
        <v>0</v>
      </c>
      <c r="AE43" s="34">
        <f>IF(D18="",0,'Consumption Inputs'!$B$18)</f>
        <v>0</v>
      </c>
    </row>
    <row r="44" spans="1:31" ht="20.100000000000001" hidden="1" customHeight="1" x14ac:dyDescent="0.2">
      <c r="A44" s="39">
        <f t="shared" si="11"/>
        <v>15</v>
      </c>
      <c r="B44" s="31">
        <f>IF(D19="",0,VLOOKUP($O19,'Consumption Inputs'!$A$40:$I$117,2))</f>
        <v>0</v>
      </c>
      <c r="C44" s="31">
        <f>IF(D19="",0,VLOOKUP($O19,'Consumption Inputs'!$A$40:$I$117,4))</f>
        <v>0</v>
      </c>
      <c r="D44" s="31">
        <f>IF(D19="",0,VLOOKUP($O19,'Consumption Inputs'!$A$40:$I$117,6))</f>
        <v>0</v>
      </c>
      <c r="E44" s="31">
        <f>IF(D19="",0,VLOOKUP($O19,'Consumption Inputs'!$A$40:$I$117,3))</f>
        <v>0</v>
      </c>
      <c r="F44" s="31">
        <f>IF(D19="",0,VLOOKUP($O19,'Consumption Inputs'!$A$40:$I$117,5))</f>
        <v>0</v>
      </c>
      <c r="G44" s="31">
        <f>IF(D19="",0,VLOOKUP($O19,'Consumption Inputs'!$A$40:$I$117,7))</f>
        <v>0</v>
      </c>
      <c r="H44" s="32">
        <f>IF(D19="",0,'Consumption Inputs'!$B$36)</f>
        <v>0</v>
      </c>
      <c r="I44" s="32">
        <f>IF(D19="",0,'Consumption Inputs'!$D$36)</f>
        <v>0</v>
      </c>
      <c r="J44" s="32">
        <f>IF(D19="",0,'Consumption Inputs'!$F$36)</f>
        <v>0</v>
      </c>
      <c r="K44" s="32">
        <f>IF(D19="",0,'Consumption Inputs'!$B$37)</f>
        <v>0</v>
      </c>
      <c r="L44" s="32">
        <f>IF(D19="",0,'Consumption Inputs'!$D$37)</f>
        <v>0</v>
      </c>
      <c r="M44" s="32">
        <f>IF(D19="",0,'Consumption Inputs'!$F$37)</f>
        <v>0</v>
      </c>
      <c r="N44" s="32">
        <f>IF(D19="",0,'Consumption Inputs'!$B$42)</f>
        <v>0</v>
      </c>
      <c r="O44" s="32">
        <f>IF(D19="",0,'Consumption Inputs'!$D$42)</f>
        <v>0</v>
      </c>
      <c r="P44" s="32">
        <f>IF(D19="",0,'Consumption Inputs'!$F$42)</f>
        <v>0</v>
      </c>
      <c r="Q44" s="32">
        <f>IF(D19="",0,'Consumption Inputs'!$B$34)</f>
        <v>0</v>
      </c>
      <c r="R44" s="32">
        <f>IF(D19="",0,'Consumption Inputs'!$D$34)</f>
        <v>0</v>
      </c>
      <c r="S44" s="32">
        <f>IF(D19="",0,'Consumption Inputs'!$F$34)</f>
        <v>0</v>
      </c>
      <c r="T44" s="32">
        <f>IF(D19="",0,'Consumption Inputs'!$B$35)</f>
        <v>0</v>
      </c>
      <c r="U44" s="32">
        <f>IF(D19="",0,'Consumption Inputs'!$D$35)</f>
        <v>0</v>
      </c>
      <c r="V44" s="32">
        <f>IF(D19="",0,'Consumption Inputs'!$F$35)</f>
        <v>0</v>
      </c>
      <c r="W44" s="32">
        <f>IF(D19="",0,'Consumption Inputs'!$B$34)</f>
        <v>0</v>
      </c>
      <c r="X44" s="32">
        <f>IF(D19="",0,'Consumption Inputs'!$D$34)</f>
        <v>0</v>
      </c>
      <c r="Y44" s="32">
        <f>IF(D19="",0,'Consumption Inputs'!$F$34)</f>
        <v>0</v>
      </c>
      <c r="Z44" s="32">
        <f>IF(D19="",0,'Consumption Inputs'!$B$38)</f>
        <v>0</v>
      </c>
      <c r="AA44" s="32">
        <f>IF(D19="",0,'Consumption Inputs'!$D$38)</f>
        <v>0</v>
      </c>
      <c r="AB44" s="31">
        <f>IF(D19="",0,'Consumption Inputs'!$F$38)</f>
        <v>0</v>
      </c>
      <c r="AC44" s="31">
        <f>IF(D19="",0,VLOOKUP($O19,'Consumption Inputs'!$A$40:$I$117,8))</f>
        <v>0</v>
      </c>
      <c r="AD44" s="31">
        <f>IF(D19="",0,VLOOKUP($O19,'Consumption Inputs'!$A$40:$I$117,9))</f>
        <v>0</v>
      </c>
      <c r="AE44" s="34">
        <f>IF(D19="",0,'Consumption Inputs'!$B$18)</f>
        <v>0</v>
      </c>
    </row>
    <row r="45" spans="1:31" ht="20.100000000000001" hidden="1" customHeight="1" x14ac:dyDescent="0.2">
      <c r="A45" s="39">
        <f t="shared" si="11"/>
        <v>16</v>
      </c>
      <c r="B45" s="31">
        <f>IF(D20="",0,VLOOKUP($O20,'Consumption Inputs'!$A$40:$I$117,2))</f>
        <v>0</v>
      </c>
      <c r="C45" s="31">
        <f>IF(D20="",0,VLOOKUP($O20,'Consumption Inputs'!$A$40:$I$117,4))</f>
        <v>0</v>
      </c>
      <c r="D45" s="31">
        <f>IF(D20="",0,VLOOKUP($O20,'Consumption Inputs'!$A$40:$I$117,6))</f>
        <v>0</v>
      </c>
      <c r="E45" s="31">
        <f>IF(D20="",0,VLOOKUP($O20,'Consumption Inputs'!$A$40:$I$117,3))</f>
        <v>0</v>
      </c>
      <c r="F45" s="31">
        <f>IF(D20="",0,VLOOKUP($O20,'Consumption Inputs'!$A$40:$I$117,5))</f>
        <v>0</v>
      </c>
      <c r="G45" s="31">
        <f>IF(D20="",0,VLOOKUP($O20,'Consumption Inputs'!$A$40:$I$117,7))</f>
        <v>0</v>
      </c>
      <c r="H45" s="32">
        <f>IF(D20="",0,'Consumption Inputs'!$B$36)</f>
        <v>0</v>
      </c>
      <c r="I45" s="32">
        <f>IF(D20="",0,'Consumption Inputs'!$D$36)</f>
        <v>0</v>
      </c>
      <c r="J45" s="32">
        <f>IF(D20="",0,'Consumption Inputs'!$F$36)</f>
        <v>0</v>
      </c>
      <c r="K45" s="32">
        <f>IF(D20="",0,'Consumption Inputs'!$B$37)</f>
        <v>0</v>
      </c>
      <c r="L45" s="32">
        <f>IF(D20="",0,'Consumption Inputs'!$D$37)</f>
        <v>0</v>
      </c>
      <c r="M45" s="32">
        <f>IF(D20="",0,'Consumption Inputs'!$F$37)</f>
        <v>0</v>
      </c>
      <c r="N45" s="32">
        <f>IF(D20="",0,'Consumption Inputs'!$B$42)</f>
        <v>0</v>
      </c>
      <c r="O45" s="32">
        <f>IF(D20="",0,'Consumption Inputs'!$D$42)</f>
        <v>0</v>
      </c>
      <c r="P45" s="32">
        <f>IF(D20="",0,'Consumption Inputs'!$F$42)</f>
        <v>0</v>
      </c>
      <c r="Q45" s="32">
        <f>IF(D20="",0,'Consumption Inputs'!$B$34)</f>
        <v>0</v>
      </c>
      <c r="R45" s="32">
        <f>IF(D20="",0,'Consumption Inputs'!$D$34)</f>
        <v>0</v>
      </c>
      <c r="S45" s="32">
        <f>IF(D20="",0,'Consumption Inputs'!$F$34)</f>
        <v>0</v>
      </c>
      <c r="T45" s="32">
        <f>IF(D20="",0,'Consumption Inputs'!$B$35)</f>
        <v>0</v>
      </c>
      <c r="U45" s="32">
        <f>IF(D20="",0,'Consumption Inputs'!$D$35)</f>
        <v>0</v>
      </c>
      <c r="V45" s="32">
        <f>IF(D20="",0,'Consumption Inputs'!$F$35)</f>
        <v>0</v>
      </c>
      <c r="W45" s="32">
        <f>IF(D20="",0,'Consumption Inputs'!$B$34)</f>
        <v>0</v>
      </c>
      <c r="X45" s="32">
        <f>IF(D20="",0,'Consumption Inputs'!$D$34)</f>
        <v>0</v>
      </c>
      <c r="Y45" s="32">
        <f>IF(D20="",0,'Consumption Inputs'!$F$34)</f>
        <v>0</v>
      </c>
      <c r="Z45" s="32">
        <f>IF(D20="",0,'Consumption Inputs'!$B$38)</f>
        <v>0</v>
      </c>
      <c r="AA45" s="32">
        <f>IF(D20="",0,'Consumption Inputs'!$D$38)</f>
        <v>0</v>
      </c>
      <c r="AB45" s="31">
        <f>IF(D20="",0,'Consumption Inputs'!$F$38)</f>
        <v>0</v>
      </c>
      <c r="AC45" s="31">
        <f>IF(D20="",0,VLOOKUP($O20,'Consumption Inputs'!$A$40:$I$117,8))</f>
        <v>0</v>
      </c>
      <c r="AD45" s="31">
        <f>IF(D20="",0,VLOOKUP($O20,'Consumption Inputs'!$A$40:$I$117,9))</f>
        <v>0</v>
      </c>
      <c r="AE45" s="34">
        <f>IF(D20="",0,'Consumption Inputs'!$B$18)</f>
        <v>0</v>
      </c>
    </row>
    <row r="46" spans="1:31" ht="20.100000000000001" hidden="1" customHeight="1" x14ac:dyDescent="0.2">
      <c r="A46" s="39">
        <f t="shared" si="11"/>
        <v>17</v>
      </c>
      <c r="B46" s="31">
        <f>IF(D21="",0,VLOOKUP($O21,'Consumption Inputs'!$A$40:$I$117,2))</f>
        <v>0</v>
      </c>
      <c r="C46" s="31">
        <f>IF(D21="",0,VLOOKUP($O21,'Consumption Inputs'!$A$40:$I$117,4))</f>
        <v>0</v>
      </c>
      <c r="D46" s="31">
        <f>IF(D21="",0,VLOOKUP($O21,'Consumption Inputs'!$A$40:$I$117,6))</f>
        <v>0</v>
      </c>
      <c r="E46" s="31">
        <f>IF(D21="",0,VLOOKUP($O21,'Consumption Inputs'!$A$40:$I$117,3))</f>
        <v>0</v>
      </c>
      <c r="F46" s="31">
        <f>IF(D21="",0,VLOOKUP($O21,'Consumption Inputs'!$A$40:$I$117,5))</f>
        <v>0</v>
      </c>
      <c r="G46" s="31">
        <f>IF(D21="",0,VLOOKUP($O21,'Consumption Inputs'!$A$40:$I$117,7))</f>
        <v>0</v>
      </c>
      <c r="H46" s="32">
        <f>IF(D21="",0,'Consumption Inputs'!$B$36)</f>
        <v>0</v>
      </c>
      <c r="I46" s="32">
        <f>IF(D21="",0,'Consumption Inputs'!$D$36)</f>
        <v>0</v>
      </c>
      <c r="J46" s="32">
        <f>IF(D21="",0,'Consumption Inputs'!$F$36)</f>
        <v>0</v>
      </c>
      <c r="K46" s="32">
        <f>IF(D21="",0,'Consumption Inputs'!$B$37)</f>
        <v>0</v>
      </c>
      <c r="L46" s="32">
        <f>IF(D21="",0,'Consumption Inputs'!$D$37)</f>
        <v>0</v>
      </c>
      <c r="M46" s="32">
        <f>IF(D21="",0,'Consumption Inputs'!$F$37)</f>
        <v>0</v>
      </c>
      <c r="N46" s="32">
        <f>IF(D21="",0,'Consumption Inputs'!$B$42)</f>
        <v>0</v>
      </c>
      <c r="O46" s="32">
        <f>IF(D21="",0,'Consumption Inputs'!$D$42)</f>
        <v>0</v>
      </c>
      <c r="P46" s="32">
        <f>IF(D21="",0,'Consumption Inputs'!$F$42)</f>
        <v>0</v>
      </c>
      <c r="Q46" s="32">
        <f>IF(D21="",0,'Consumption Inputs'!$B$34)</f>
        <v>0</v>
      </c>
      <c r="R46" s="32">
        <f>IF(D21="",0,'Consumption Inputs'!$D$34)</f>
        <v>0</v>
      </c>
      <c r="S46" s="32">
        <f>IF(D21="",0,'Consumption Inputs'!$F$34)</f>
        <v>0</v>
      </c>
      <c r="T46" s="32">
        <f>IF(D21="",0,'Consumption Inputs'!$B$35)</f>
        <v>0</v>
      </c>
      <c r="U46" s="32">
        <f>IF(D21="",0,'Consumption Inputs'!$D$35)</f>
        <v>0</v>
      </c>
      <c r="V46" s="32">
        <f>IF(D21="",0,'Consumption Inputs'!$F$35)</f>
        <v>0</v>
      </c>
      <c r="W46" s="32">
        <f>IF(D21="",0,'Consumption Inputs'!$B$34)</f>
        <v>0</v>
      </c>
      <c r="X46" s="32">
        <f>IF(D21="",0,'Consumption Inputs'!$D$34)</f>
        <v>0</v>
      </c>
      <c r="Y46" s="32">
        <f>IF(D21="",0,'Consumption Inputs'!$F$34)</f>
        <v>0</v>
      </c>
      <c r="Z46" s="32">
        <f>IF(D21="",0,'Consumption Inputs'!$B$38)</f>
        <v>0</v>
      </c>
      <c r="AA46" s="32">
        <f>IF(D21="",0,'Consumption Inputs'!$D$38)</f>
        <v>0</v>
      </c>
      <c r="AB46" s="31">
        <f>IF(D21="",0,'Consumption Inputs'!$F$38)</f>
        <v>0</v>
      </c>
      <c r="AC46" s="31">
        <f>IF(D21="",0,VLOOKUP($O21,'Consumption Inputs'!$A$40:$I$117,8))</f>
        <v>0</v>
      </c>
      <c r="AD46" s="31">
        <f>IF(D21="",0,VLOOKUP($O21,'Consumption Inputs'!$A$40:$I$117,9))</f>
        <v>0</v>
      </c>
      <c r="AE46" s="34">
        <f>IF(D21="",0,'Consumption Inputs'!$B$18)</f>
        <v>0</v>
      </c>
    </row>
    <row r="47" spans="1:31" ht="20.100000000000001" hidden="1" customHeight="1" x14ac:dyDescent="0.2">
      <c r="A47" s="39">
        <f t="shared" si="11"/>
        <v>18</v>
      </c>
      <c r="B47" s="31">
        <f>IF(D22="",0,VLOOKUP($O22,'Consumption Inputs'!$A$40:$I$117,2))</f>
        <v>0</v>
      </c>
      <c r="C47" s="31">
        <f>IF(D22="",0,VLOOKUP($O22,'Consumption Inputs'!$A$40:$I$117,4))</f>
        <v>0</v>
      </c>
      <c r="D47" s="31">
        <f>IF(D22="",0,VLOOKUP($O22,'Consumption Inputs'!$A$40:$I$117,6))</f>
        <v>0</v>
      </c>
      <c r="E47" s="31">
        <f>IF(D22="",0,VLOOKUP($O22,'Consumption Inputs'!$A$40:$I$117,3))</f>
        <v>0</v>
      </c>
      <c r="F47" s="31">
        <f>IF(D22="",0,VLOOKUP($O22,'Consumption Inputs'!$A$40:$I$117,5))</f>
        <v>0</v>
      </c>
      <c r="G47" s="31">
        <f>IF(D22="",0,VLOOKUP($O22,'Consumption Inputs'!$A$40:$I$117,7))</f>
        <v>0</v>
      </c>
      <c r="H47" s="32">
        <f>IF(D22="",0,'Consumption Inputs'!$B$36)</f>
        <v>0</v>
      </c>
      <c r="I47" s="32">
        <f>IF(D22="",0,'Consumption Inputs'!$D$36)</f>
        <v>0</v>
      </c>
      <c r="J47" s="32">
        <f>IF(D22="",0,'Consumption Inputs'!$F$36)</f>
        <v>0</v>
      </c>
      <c r="K47" s="32">
        <f>IF(D22="",0,'Consumption Inputs'!$B$37)</f>
        <v>0</v>
      </c>
      <c r="L47" s="32">
        <f>IF(D22="",0,'Consumption Inputs'!$D$37)</f>
        <v>0</v>
      </c>
      <c r="M47" s="32">
        <f>IF(D22="",0,'Consumption Inputs'!$F$37)</f>
        <v>0</v>
      </c>
      <c r="N47" s="32">
        <f>IF(D22="",0,'Consumption Inputs'!$B$42)</f>
        <v>0</v>
      </c>
      <c r="O47" s="32">
        <f>IF(D22="",0,'Consumption Inputs'!$D$42)</f>
        <v>0</v>
      </c>
      <c r="P47" s="32">
        <f>IF(D22="",0,'Consumption Inputs'!$F$42)</f>
        <v>0</v>
      </c>
      <c r="Q47" s="32">
        <f>IF(D22="",0,'Consumption Inputs'!$B$34)</f>
        <v>0</v>
      </c>
      <c r="R47" s="32">
        <f>IF(D22="",0,'Consumption Inputs'!$D$34)</f>
        <v>0</v>
      </c>
      <c r="S47" s="32">
        <f>IF(D22="",0,'Consumption Inputs'!$F$34)</f>
        <v>0</v>
      </c>
      <c r="T47" s="32">
        <f>IF(D22="",0,'Consumption Inputs'!$B$35)</f>
        <v>0</v>
      </c>
      <c r="U47" s="32">
        <f>IF(D22="",0,'Consumption Inputs'!$D$35)</f>
        <v>0</v>
      </c>
      <c r="V47" s="32">
        <f>IF(D22="",0,'Consumption Inputs'!$F$35)</f>
        <v>0</v>
      </c>
      <c r="W47" s="32">
        <f>IF(D22="",0,'Consumption Inputs'!$B$34)</f>
        <v>0</v>
      </c>
      <c r="X47" s="32">
        <f>IF(D22="",0,'Consumption Inputs'!$D$34)</f>
        <v>0</v>
      </c>
      <c r="Y47" s="32">
        <f>IF(D22="",0,'Consumption Inputs'!$F$34)</f>
        <v>0</v>
      </c>
      <c r="Z47" s="32">
        <f>IF(D22="",0,'Consumption Inputs'!$B$38)</f>
        <v>0</v>
      </c>
      <c r="AA47" s="32">
        <f>IF(D22="",0,'Consumption Inputs'!$D$38)</f>
        <v>0</v>
      </c>
      <c r="AB47" s="31">
        <f>IF(D22="",0,'Consumption Inputs'!$F$38)</f>
        <v>0</v>
      </c>
      <c r="AC47" s="31">
        <f>IF(D22="",0,VLOOKUP($O22,'Consumption Inputs'!$A$40:$I$117,8))</f>
        <v>0</v>
      </c>
      <c r="AD47" s="31">
        <f>IF(D22="",0,VLOOKUP($O22,'Consumption Inputs'!$A$40:$I$117,9))</f>
        <v>0</v>
      </c>
      <c r="AE47" s="34">
        <f>IF(D22="",0,'Consumption Inputs'!$B$18)</f>
        <v>0</v>
      </c>
    </row>
    <row r="48" spans="1:31" ht="20.100000000000001" hidden="1" customHeight="1" x14ac:dyDescent="0.2">
      <c r="A48" s="39">
        <f t="shared" si="11"/>
        <v>19</v>
      </c>
      <c r="B48" s="31">
        <f>IF(D23="",0,VLOOKUP($O23,'Consumption Inputs'!$A$40:$I$117,2))</f>
        <v>0</v>
      </c>
      <c r="C48" s="31">
        <f>IF(D23="",0,VLOOKUP($O23,'Consumption Inputs'!$A$40:$I$117,4))</f>
        <v>0</v>
      </c>
      <c r="D48" s="31">
        <f>IF(D23="",0,VLOOKUP($O23,'Consumption Inputs'!$A$40:$I$117,6))</f>
        <v>0</v>
      </c>
      <c r="E48" s="31">
        <f>IF(D23="",0,VLOOKUP($O23,'Consumption Inputs'!$A$40:$I$117,3))</f>
        <v>0</v>
      </c>
      <c r="F48" s="31">
        <f>IF(D23="",0,VLOOKUP($O23,'Consumption Inputs'!$A$40:$I$117,5))</f>
        <v>0</v>
      </c>
      <c r="G48" s="31">
        <f>IF(D23="",0,VLOOKUP($O23,'Consumption Inputs'!$A$40:$I$117,7))</f>
        <v>0</v>
      </c>
      <c r="H48" s="32">
        <f>IF(D23="",0,'Consumption Inputs'!$B$36)</f>
        <v>0</v>
      </c>
      <c r="I48" s="32">
        <f>IF(D23="",0,'Consumption Inputs'!$D$36)</f>
        <v>0</v>
      </c>
      <c r="J48" s="32">
        <f>IF(D23="",0,'Consumption Inputs'!$F$36)</f>
        <v>0</v>
      </c>
      <c r="K48" s="32">
        <f>IF(D23="",0,'Consumption Inputs'!$B$37)</f>
        <v>0</v>
      </c>
      <c r="L48" s="32">
        <f>IF(D23="",0,'Consumption Inputs'!$D$37)</f>
        <v>0</v>
      </c>
      <c r="M48" s="32">
        <f>IF(D23="",0,'Consumption Inputs'!$F$37)</f>
        <v>0</v>
      </c>
      <c r="N48" s="32">
        <f>IF(D23="",0,'Consumption Inputs'!$B$42)</f>
        <v>0</v>
      </c>
      <c r="O48" s="32">
        <f>IF(D23="",0,'Consumption Inputs'!$D$42)</f>
        <v>0</v>
      </c>
      <c r="P48" s="32">
        <f>IF(D23="",0,'Consumption Inputs'!$F$42)</f>
        <v>0</v>
      </c>
      <c r="Q48" s="32">
        <f>IF(D23="",0,'Consumption Inputs'!$B$34)</f>
        <v>0</v>
      </c>
      <c r="R48" s="32">
        <f>IF(D23="",0,'Consumption Inputs'!$D$34)</f>
        <v>0</v>
      </c>
      <c r="S48" s="32">
        <f>IF(D23="",0,'Consumption Inputs'!$F$34)</f>
        <v>0</v>
      </c>
      <c r="T48" s="32">
        <f>IF(D23="",0,'Consumption Inputs'!$B$35)</f>
        <v>0</v>
      </c>
      <c r="U48" s="32">
        <f>IF(D23="",0,'Consumption Inputs'!$D$35)</f>
        <v>0</v>
      </c>
      <c r="V48" s="32">
        <f>IF(D23="",0,'Consumption Inputs'!$F$35)</f>
        <v>0</v>
      </c>
      <c r="W48" s="32">
        <f>IF(D23="",0,'Consumption Inputs'!$B$34)</f>
        <v>0</v>
      </c>
      <c r="X48" s="32">
        <f>IF(D23="",0,'Consumption Inputs'!$D$34)</f>
        <v>0</v>
      </c>
      <c r="Y48" s="32">
        <f>IF(D23="",0,'Consumption Inputs'!$F$34)</f>
        <v>0</v>
      </c>
      <c r="Z48" s="32">
        <f>IF(D23="",0,'Consumption Inputs'!$B$38)</f>
        <v>0</v>
      </c>
      <c r="AA48" s="32">
        <f>IF(D23="",0,'Consumption Inputs'!$D$38)</f>
        <v>0</v>
      </c>
      <c r="AB48" s="31">
        <f>IF(D23="",0,'Consumption Inputs'!$F$38)</f>
        <v>0</v>
      </c>
      <c r="AC48" s="31">
        <f>IF(D23="",0,VLOOKUP($O23,'Consumption Inputs'!$A$40:$I$117,8))</f>
        <v>0</v>
      </c>
      <c r="AD48" s="31">
        <f>IF(D23="",0,VLOOKUP($O23,'Consumption Inputs'!$A$40:$I$117,9))</f>
        <v>0</v>
      </c>
      <c r="AE48" s="34">
        <f>IF(D23="",0,'Consumption Inputs'!$B$18)</f>
        <v>0</v>
      </c>
    </row>
    <row r="49" spans="1:31" ht="20.100000000000001" hidden="1" customHeight="1" thickBot="1" x14ac:dyDescent="0.25">
      <c r="A49" s="49">
        <f t="shared" si="11"/>
        <v>20</v>
      </c>
      <c r="B49" s="62">
        <f>IF(D24="",0,VLOOKUP($O24,'Consumption Inputs'!$A$40:$I$117,2))</f>
        <v>0</v>
      </c>
      <c r="C49" s="62">
        <f>IF(D24="",0,VLOOKUP($O24,'Consumption Inputs'!$A$40:$I$117,4))</f>
        <v>0</v>
      </c>
      <c r="D49" s="62">
        <f>IF(D24="",0,VLOOKUP($O24,'Consumption Inputs'!$A$40:$I$117,6))</f>
        <v>0</v>
      </c>
      <c r="E49" s="62">
        <f>IF(D24="",0,VLOOKUP($O24,'Consumption Inputs'!$A$40:$I$117,3))</f>
        <v>0</v>
      </c>
      <c r="F49" s="62">
        <f>IF(D24="",0,VLOOKUP($O24,'Consumption Inputs'!$A$40:$I$117,5))</f>
        <v>0</v>
      </c>
      <c r="G49" s="62">
        <f>IF(D24="",0,VLOOKUP($O24,'Consumption Inputs'!$A$40:$I$117,7))</f>
        <v>0</v>
      </c>
      <c r="H49" s="64">
        <f>IF(D24="",0,'Consumption Inputs'!$B$36)</f>
        <v>0</v>
      </c>
      <c r="I49" s="64">
        <f>IF(D24="",0,'Consumption Inputs'!$D$36)</f>
        <v>0</v>
      </c>
      <c r="J49" s="64">
        <f>IF(D24="",0,'Consumption Inputs'!$F$36)</f>
        <v>0</v>
      </c>
      <c r="K49" s="64">
        <f>IF(D24="",0,'Consumption Inputs'!$B$37)</f>
        <v>0</v>
      </c>
      <c r="L49" s="64">
        <f>IF(D24="",0,'Consumption Inputs'!$D$37)</f>
        <v>0</v>
      </c>
      <c r="M49" s="64">
        <f>IF(D24="",0,'Consumption Inputs'!$F$37)</f>
        <v>0</v>
      </c>
      <c r="N49" s="64">
        <f>IF(D24="",0,'Consumption Inputs'!$B$42)</f>
        <v>0</v>
      </c>
      <c r="O49" s="64">
        <f>IF(D24="",0,'Consumption Inputs'!$D$42)</f>
        <v>0</v>
      </c>
      <c r="P49" s="64">
        <f>IF(D24="",0,'Consumption Inputs'!$F$42)</f>
        <v>0</v>
      </c>
      <c r="Q49" s="64">
        <f>IF(D24="",0,'Consumption Inputs'!$B$34)</f>
        <v>0</v>
      </c>
      <c r="R49" s="64">
        <f>IF(D24="",0,'Consumption Inputs'!$D$34)</f>
        <v>0</v>
      </c>
      <c r="S49" s="64">
        <f>IF(D24="",0,'Consumption Inputs'!$F$34)</f>
        <v>0</v>
      </c>
      <c r="T49" s="64">
        <f>IF(D24="",0,'Consumption Inputs'!$B$35)</f>
        <v>0</v>
      </c>
      <c r="U49" s="64">
        <f>IF(D24="",0,'Consumption Inputs'!$D$35)</f>
        <v>0</v>
      </c>
      <c r="V49" s="64">
        <f>IF(D24="",0,'Consumption Inputs'!$F$35)</f>
        <v>0</v>
      </c>
      <c r="W49" s="64">
        <f>IF(D24="",0,'Consumption Inputs'!$B$34)</f>
        <v>0</v>
      </c>
      <c r="X49" s="64">
        <f>IF(D24="",0,'Consumption Inputs'!$D$34)</f>
        <v>0</v>
      </c>
      <c r="Y49" s="64">
        <f>IF(D24="",0,'Consumption Inputs'!$F$34)</f>
        <v>0</v>
      </c>
      <c r="Z49" s="64">
        <f>IF(D24="",0,'Consumption Inputs'!$B$38)</f>
        <v>0</v>
      </c>
      <c r="AA49" s="64">
        <f>IF(D24="",0,'Consumption Inputs'!$D$38)</f>
        <v>0</v>
      </c>
      <c r="AB49" s="62">
        <f>IF(D24="",0,'Consumption Inputs'!$F$38)</f>
        <v>0</v>
      </c>
      <c r="AC49" s="62">
        <f>IF(D24="",0,VLOOKUP($O24,'Consumption Inputs'!$A$40:$I$117,8))</f>
        <v>0</v>
      </c>
      <c r="AD49" s="62">
        <f>IF(D24="",0,VLOOKUP($O24,'Consumption Inputs'!$A$40:$I$117,9))</f>
        <v>0</v>
      </c>
      <c r="AE49" s="75">
        <f>IF(D24="",0,'Consumption Inputs'!$B$18)</f>
        <v>0</v>
      </c>
    </row>
    <row r="50" spans="1:31" ht="20.100000000000001" hidden="1" customHeight="1" thickTop="1" thickBot="1" x14ac:dyDescent="0.25">
      <c r="A50" s="51" t="s">
        <v>0</v>
      </c>
      <c r="B50" s="63">
        <f>SUM(B30:B49)</f>
        <v>636.77685950413229</v>
      </c>
      <c r="C50" s="63">
        <f>SUM(C30:C49)</f>
        <v>301.70398126463698</v>
      </c>
      <c r="D50" s="63">
        <f>SUM(D30:D49)</f>
        <v>308.2</v>
      </c>
      <c r="E50" s="63">
        <f t="shared" ref="E50:AE50" si="12">SUM(E30:E49)</f>
        <v>639.04958677685954</v>
      </c>
      <c r="F50" s="63">
        <f t="shared" si="12"/>
        <v>302.78079625292736</v>
      </c>
      <c r="G50" s="63">
        <f t="shared" si="12"/>
        <v>309.3</v>
      </c>
      <c r="H50" s="63">
        <f t="shared" si="12"/>
        <v>390.49586776859502</v>
      </c>
      <c r="I50" s="63">
        <f t="shared" si="12"/>
        <v>185.01639344262298</v>
      </c>
      <c r="J50" s="63">
        <f t="shared" si="12"/>
        <v>189</v>
      </c>
      <c r="K50" s="63">
        <f t="shared" si="12"/>
        <v>636.36363636363626</v>
      </c>
      <c r="L50" s="63">
        <f t="shared" si="12"/>
        <v>301.50819672131149</v>
      </c>
      <c r="M50" s="63">
        <f t="shared" si="12"/>
        <v>308</v>
      </c>
      <c r="N50" s="63">
        <f t="shared" si="12"/>
        <v>592.97520661157023</v>
      </c>
      <c r="O50" s="63">
        <f t="shared" si="12"/>
        <v>280.95081967213116</v>
      </c>
      <c r="P50" s="63">
        <f t="shared" si="12"/>
        <v>287</v>
      </c>
      <c r="Q50" s="63">
        <f t="shared" si="12"/>
        <v>216.94214876033061</v>
      </c>
      <c r="R50" s="63">
        <f t="shared" si="12"/>
        <v>102.78688524590163</v>
      </c>
      <c r="S50" s="63">
        <f t="shared" si="12"/>
        <v>105</v>
      </c>
      <c r="T50" s="63">
        <f t="shared" si="12"/>
        <v>216.94214876033061</v>
      </c>
      <c r="U50" s="63">
        <f t="shared" si="12"/>
        <v>102.78688524590163</v>
      </c>
      <c r="V50" s="63">
        <f t="shared" si="12"/>
        <v>105</v>
      </c>
      <c r="W50" s="63">
        <f t="shared" si="12"/>
        <v>216.94214876033061</v>
      </c>
      <c r="X50" s="63">
        <f t="shared" si="12"/>
        <v>102.78688524590163</v>
      </c>
      <c r="Y50" s="63">
        <f t="shared" si="12"/>
        <v>105</v>
      </c>
      <c r="Z50" s="63">
        <f t="shared" si="12"/>
        <v>86.776859504132233</v>
      </c>
      <c r="AA50" s="63">
        <f t="shared" si="12"/>
        <v>41.114754098360663</v>
      </c>
      <c r="AB50" s="63">
        <f t="shared" si="12"/>
        <v>42</v>
      </c>
      <c r="AC50" s="63">
        <f t="shared" si="12"/>
        <v>12.5</v>
      </c>
      <c r="AD50" s="69">
        <f t="shared" si="12"/>
        <v>4.29</v>
      </c>
      <c r="AE50" s="71">
        <f t="shared" si="12"/>
        <v>0.7</v>
      </c>
    </row>
    <row r="51" spans="1:31" ht="20.100000000000001" hidden="1" customHeight="1" thickTop="1" x14ac:dyDescent="0.2"/>
    <row r="52" spans="1:31" ht="20.100000000000001" hidden="1" customHeight="1" x14ac:dyDescent="0.3">
      <c r="A52" s="12" t="s">
        <v>126</v>
      </c>
      <c r="B52" s="20"/>
      <c r="C52" s="20"/>
      <c r="D52" s="21"/>
    </row>
    <row r="53" spans="1:31" ht="20.100000000000001" hidden="1" customHeight="1" thickBot="1" x14ac:dyDescent="0.35">
      <c r="A53" s="12"/>
      <c r="B53" s="70"/>
      <c r="C53" s="70"/>
      <c r="D53" s="70"/>
      <c r="E53" s="70"/>
      <c r="F53" s="70"/>
      <c r="G53" s="70"/>
      <c r="H53" s="70"/>
    </row>
    <row r="54" spans="1:31" ht="20.100000000000001" hidden="1" customHeight="1" thickTop="1" thickBot="1" x14ac:dyDescent="0.25">
      <c r="A54" s="4" t="s">
        <v>44</v>
      </c>
      <c r="B54" s="16" t="s">
        <v>30</v>
      </c>
      <c r="C54" s="16" t="s">
        <v>32</v>
      </c>
      <c r="D54" s="16" t="s">
        <v>34</v>
      </c>
      <c r="E54" s="16" t="s">
        <v>31</v>
      </c>
      <c r="F54" s="16" t="s">
        <v>33</v>
      </c>
      <c r="G54" s="16" t="s">
        <v>35</v>
      </c>
      <c r="H54" s="30" t="s">
        <v>65</v>
      </c>
      <c r="I54" s="30" t="s">
        <v>66</v>
      </c>
      <c r="J54" s="30" t="s">
        <v>67</v>
      </c>
      <c r="K54" s="30" t="s">
        <v>68</v>
      </c>
      <c r="L54" s="30" t="s">
        <v>69</v>
      </c>
      <c r="M54" s="30" t="s">
        <v>70</v>
      </c>
      <c r="N54" s="30" t="s">
        <v>82</v>
      </c>
      <c r="O54" s="30" t="s">
        <v>83</v>
      </c>
      <c r="P54" s="30" t="s">
        <v>84</v>
      </c>
      <c r="Q54" s="30" t="s">
        <v>85</v>
      </c>
      <c r="R54" s="30" t="s">
        <v>86</v>
      </c>
      <c r="S54" s="30" t="s">
        <v>87</v>
      </c>
      <c r="T54" s="30" t="s">
        <v>88</v>
      </c>
      <c r="U54" s="30" t="s">
        <v>89</v>
      </c>
      <c r="V54" s="30" t="s">
        <v>90</v>
      </c>
      <c r="W54" s="30" t="s">
        <v>91</v>
      </c>
      <c r="X54" s="30" t="s">
        <v>92</v>
      </c>
      <c r="Y54" s="30" t="s">
        <v>93</v>
      </c>
      <c r="Z54" s="30" t="s">
        <v>71</v>
      </c>
      <c r="AA54" s="30" t="s">
        <v>72</v>
      </c>
      <c r="AB54" s="17" t="s">
        <v>73</v>
      </c>
      <c r="AC54" s="16" t="s">
        <v>13</v>
      </c>
      <c r="AD54" s="17" t="s">
        <v>27</v>
      </c>
      <c r="AE54" s="17" t="s">
        <v>129</v>
      </c>
    </row>
    <row r="55" spans="1:31" ht="20.100000000000001" hidden="1" customHeight="1" thickTop="1" x14ac:dyDescent="0.2">
      <c r="A55" s="39">
        <f>A5</f>
        <v>1</v>
      </c>
      <c r="B55" s="25">
        <f t="shared" ref="B55:B74" si="13">IF($AW5=2,B30,0)</f>
        <v>0</v>
      </c>
      <c r="C55" s="25">
        <f t="shared" ref="C55:C74" si="14">IF($AW5=3,C30,0)</f>
        <v>0</v>
      </c>
      <c r="D55" s="25">
        <f t="shared" ref="D55:D74" si="15">IF($AW5=4,D30,0)</f>
        <v>0</v>
      </c>
      <c r="E55" s="25">
        <f t="shared" ref="E55:E74" si="16">IF($AW5=5,E30,0)</f>
        <v>86.776859504132233</v>
      </c>
      <c r="F55" s="25">
        <f t="shared" ref="F55:F74" si="17">IF($AW5=6,F30,0)</f>
        <v>0</v>
      </c>
      <c r="G55" s="25">
        <f t="shared" ref="G55:G74" si="18">IF($AW5=7,G30,0)</f>
        <v>0</v>
      </c>
      <c r="H55" s="25">
        <f t="shared" ref="H55:H74" si="19">IF($AW5=8,H30,0)</f>
        <v>0</v>
      </c>
      <c r="I55" s="25">
        <f t="shared" ref="I55:I74" si="20">IF($AW5=9,I30,0)</f>
        <v>0</v>
      </c>
      <c r="J55" s="25">
        <f t="shared" ref="J55:J74" si="21">IF($AW5=10,J30,0)</f>
        <v>0</v>
      </c>
      <c r="K55" s="25">
        <f t="shared" ref="K55:K74" si="22">IF($AW5=11,K30,0)</f>
        <v>0</v>
      </c>
      <c r="L55" s="25">
        <f t="shared" ref="L55:L74" si="23">IF($AW5=12,L30,0)</f>
        <v>0</v>
      </c>
      <c r="M55" s="25">
        <f t="shared" ref="M55:M74" si="24">IF($AW5=13,M30,0)</f>
        <v>0</v>
      </c>
      <c r="N55" s="25">
        <f t="shared" ref="N55:N74" si="25">IF($AW5=14,N30,0)</f>
        <v>0</v>
      </c>
      <c r="O55" s="25">
        <f t="shared" ref="O55:O74" si="26">IF($AW5=15,O30,0)</f>
        <v>0</v>
      </c>
      <c r="P55" s="25">
        <f t="shared" ref="P55:P74" si="27">IF($AW5=16,P30,0)</f>
        <v>0</v>
      </c>
      <c r="Q55" s="25">
        <f t="shared" ref="Q55:Q74" si="28">IF($AW5=17,Q30,0)</f>
        <v>0</v>
      </c>
      <c r="R55" s="25">
        <f t="shared" ref="R55:R74" si="29">IF($AW5=18,R30,0)</f>
        <v>0</v>
      </c>
      <c r="S55" s="25">
        <f t="shared" ref="S55:S74" si="30">IF($AW5=19,S30,0)</f>
        <v>0</v>
      </c>
      <c r="T55" s="25">
        <f t="shared" ref="T55:T74" si="31">IF($AW5=20,T30,0)</f>
        <v>0</v>
      </c>
      <c r="U55" s="25">
        <f t="shared" ref="U55:U74" si="32">IF($AW5=21,U30,0)</f>
        <v>0</v>
      </c>
      <c r="V55" s="25">
        <f t="shared" ref="V55:V74" si="33">IF($AW5=22,V30,0)</f>
        <v>0</v>
      </c>
      <c r="W55" s="25">
        <f t="shared" ref="W55:W74" si="34">IF($AW5=23,W30,0)</f>
        <v>0</v>
      </c>
      <c r="X55" s="25">
        <f t="shared" ref="X55:X74" si="35">IF($AW5=24,X30,0)</f>
        <v>0</v>
      </c>
      <c r="Y55" s="25">
        <f t="shared" ref="Y55:Y74" si="36">IF($AW5=25,Y30,0)</f>
        <v>0</v>
      </c>
      <c r="Z55" s="25">
        <f t="shared" ref="Z55:Z74" si="37">IF($BA5=26,Z30,0)</f>
        <v>12.396694214876034</v>
      </c>
      <c r="AA55" s="25">
        <f t="shared" ref="AA55:AA74" si="38">IF($BA5=27,AA30,0)</f>
        <v>0</v>
      </c>
      <c r="AB55" s="25">
        <f t="shared" ref="AB55:AB74" si="39">IF($BA5=28,AB30,0)</f>
        <v>0</v>
      </c>
      <c r="AC55" s="25">
        <f t="shared" ref="AC55:AC74" si="40">IF(T5&gt;2,AC30,0)</f>
        <v>0</v>
      </c>
      <c r="AD55" s="33">
        <f t="shared" ref="AD55:AD74" si="41">IF(X5=1,AD30,0)</f>
        <v>0.6</v>
      </c>
      <c r="AE55" s="35">
        <f t="shared" ref="AE55:AE74" si="42">IF(AND(V5=1,X5=1),AE30,0)</f>
        <v>0.1</v>
      </c>
    </row>
    <row r="56" spans="1:31" ht="20.100000000000001" hidden="1" customHeight="1" x14ac:dyDescent="0.2">
      <c r="A56" s="39">
        <f t="shared" ref="A56:A74" si="43">A6</f>
        <v>2</v>
      </c>
      <c r="B56" s="31">
        <f t="shared" si="13"/>
        <v>0</v>
      </c>
      <c r="C56" s="31">
        <f t="shared" si="14"/>
        <v>0</v>
      </c>
      <c r="D56" s="31">
        <f t="shared" si="15"/>
        <v>0</v>
      </c>
      <c r="E56" s="31">
        <f t="shared" si="16"/>
        <v>0</v>
      </c>
      <c r="F56" s="31">
        <f t="shared" si="17"/>
        <v>0</v>
      </c>
      <c r="G56" s="31">
        <f t="shared" si="18"/>
        <v>0</v>
      </c>
      <c r="H56" s="32">
        <f t="shared" si="19"/>
        <v>0</v>
      </c>
      <c r="I56" s="32">
        <f t="shared" si="20"/>
        <v>0</v>
      </c>
      <c r="J56" s="32">
        <f t="shared" si="21"/>
        <v>0</v>
      </c>
      <c r="K56" s="32">
        <f t="shared" si="22"/>
        <v>0</v>
      </c>
      <c r="L56" s="32">
        <f t="shared" si="23"/>
        <v>0</v>
      </c>
      <c r="M56" s="32">
        <f t="shared" si="24"/>
        <v>0</v>
      </c>
      <c r="N56" s="32">
        <f t="shared" si="25"/>
        <v>0</v>
      </c>
      <c r="O56" s="32">
        <f t="shared" si="26"/>
        <v>0</v>
      </c>
      <c r="P56" s="32">
        <f t="shared" si="27"/>
        <v>0</v>
      </c>
      <c r="Q56" s="32">
        <f t="shared" si="28"/>
        <v>0</v>
      </c>
      <c r="R56" s="32">
        <f t="shared" si="29"/>
        <v>0</v>
      </c>
      <c r="S56" s="32">
        <f t="shared" si="30"/>
        <v>0</v>
      </c>
      <c r="T56" s="32">
        <f t="shared" si="31"/>
        <v>0</v>
      </c>
      <c r="U56" s="32">
        <f t="shared" si="32"/>
        <v>0</v>
      </c>
      <c r="V56" s="32">
        <f t="shared" si="33"/>
        <v>0</v>
      </c>
      <c r="W56" s="32">
        <f t="shared" si="34"/>
        <v>0</v>
      </c>
      <c r="X56" s="32">
        <f t="shared" si="35"/>
        <v>0</v>
      </c>
      <c r="Y56" s="32">
        <f t="shared" si="36"/>
        <v>0</v>
      </c>
      <c r="Z56" s="32">
        <f t="shared" si="37"/>
        <v>0</v>
      </c>
      <c r="AA56" s="32">
        <f t="shared" si="38"/>
        <v>5.8735362997658083</v>
      </c>
      <c r="AB56" s="31">
        <f t="shared" si="39"/>
        <v>0</v>
      </c>
      <c r="AC56" s="31">
        <f t="shared" si="40"/>
        <v>0</v>
      </c>
      <c r="AD56" s="32">
        <f t="shared" si="41"/>
        <v>0</v>
      </c>
      <c r="AE56" s="34">
        <f t="shared" si="42"/>
        <v>0</v>
      </c>
    </row>
    <row r="57" spans="1:31" ht="20.100000000000001" hidden="1" customHeight="1" x14ac:dyDescent="0.2">
      <c r="A57" s="39">
        <f t="shared" si="43"/>
        <v>3</v>
      </c>
      <c r="B57" s="31">
        <f t="shared" si="13"/>
        <v>0</v>
      </c>
      <c r="C57" s="31">
        <f t="shared" si="14"/>
        <v>0</v>
      </c>
      <c r="D57" s="31">
        <f t="shared" si="15"/>
        <v>0</v>
      </c>
      <c r="E57" s="31">
        <f t="shared" si="16"/>
        <v>0</v>
      </c>
      <c r="F57" s="31">
        <f t="shared" si="17"/>
        <v>0</v>
      </c>
      <c r="G57" s="31">
        <f t="shared" si="18"/>
        <v>0</v>
      </c>
      <c r="H57" s="32">
        <f t="shared" si="19"/>
        <v>55.785123966942152</v>
      </c>
      <c r="I57" s="32">
        <f t="shared" si="20"/>
        <v>0</v>
      </c>
      <c r="J57" s="32">
        <f t="shared" si="21"/>
        <v>0</v>
      </c>
      <c r="K57" s="32">
        <f t="shared" si="22"/>
        <v>0</v>
      </c>
      <c r="L57" s="32">
        <f t="shared" si="23"/>
        <v>0</v>
      </c>
      <c r="M57" s="32">
        <f t="shared" si="24"/>
        <v>0</v>
      </c>
      <c r="N57" s="32">
        <f t="shared" si="25"/>
        <v>0</v>
      </c>
      <c r="O57" s="32">
        <f t="shared" si="26"/>
        <v>0</v>
      </c>
      <c r="P57" s="32">
        <f t="shared" si="27"/>
        <v>0</v>
      </c>
      <c r="Q57" s="32">
        <f t="shared" si="28"/>
        <v>0</v>
      </c>
      <c r="R57" s="32">
        <f t="shared" si="29"/>
        <v>0</v>
      </c>
      <c r="S57" s="32">
        <f t="shared" si="30"/>
        <v>0</v>
      </c>
      <c r="T57" s="32">
        <f t="shared" si="31"/>
        <v>0</v>
      </c>
      <c r="U57" s="32">
        <f t="shared" si="32"/>
        <v>0</v>
      </c>
      <c r="V57" s="32">
        <f t="shared" si="33"/>
        <v>0</v>
      </c>
      <c r="W57" s="32">
        <f t="shared" si="34"/>
        <v>0</v>
      </c>
      <c r="X57" s="32">
        <f t="shared" si="35"/>
        <v>0</v>
      </c>
      <c r="Y57" s="32">
        <f t="shared" si="36"/>
        <v>0</v>
      </c>
      <c r="Z57" s="32">
        <f t="shared" si="37"/>
        <v>0</v>
      </c>
      <c r="AA57" s="32">
        <f t="shared" si="38"/>
        <v>0</v>
      </c>
      <c r="AB57" s="31">
        <f t="shared" si="39"/>
        <v>0</v>
      </c>
      <c r="AC57" s="31">
        <f t="shared" si="40"/>
        <v>2.5</v>
      </c>
      <c r="AD57" s="32">
        <f t="shared" si="41"/>
        <v>0.6</v>
      </c>
      <c r="AE57" s="34">
        <f t="shared" si="42"/>
        <v>0</v>
      </c>
    </row>
    <row r="58" spans="1:31" ht="20.100000000000001" hidden="1" customHeight="1" x14ac:dyDescent="0.2">
      <c r="A58" s="39">
        <f t="shared" si="43"/>
        <v>4</v>
      </c>
      <c r="B58" s="31">
        <f t="shared" si="13"/>
        <v>0</v>
      </c>
      <c r="C58" s="31">
        <f t="shared" si="14"/>
        <v>0</v>
      </c>
      <c r="D58" s="31">
        <f t="shared" si="15"/>
        <v>0</v>
      </c>
      <c r="E58" s="31">
        <f t="shared" si="16"/>
        <v>0</v>
      </c>
      <c r="F58" s="31">
        <f t="shared" si="17"/>
        <v>0</v>
      </c>
      <c r="G58" s="31">
        <f t="shared" si="18"/>
        <v>0</v>
      </c>
      <c r="H58" s="32">
        <f t="shared" si="19"/>
        <v>0</v>
      </c>
      <c r="I58" s="32">
        <f t="shared" si="20"/>
        <v>0</v>
      </c>
      <c r="J58" s="32">
        <f t="shared" si="21"/>
        <v>0</v>
      </c>
      <c r="K58" s="32">
        <f t="shared" si="22"/>
        <v>0</v>
      </c>
      <c r="L58" s="32">
        <f t="shared" si="23"/>
        <v>0</v>
      </c>
      <c r="M58" s="32">
        <f t="shared" si="24"/>
        <v>0</v>
      </c>
      <c r="N58" s="32">
        <f t="shared" si="25"/>
        <v>0</v>
      </c>
      <c r="O58" s="32">
        <f t="shared" si="26"/>
        <v>0</v>
      </c>
      <c r="P58" s="32">
        <f t="shared" si="27"/>
        <v>0</v>
      </c>
      <c r="Q58" s="32">
        <f t="shared" si="28"/>
        <v>0</v>
      </c>
      <c r="R58" s="32">
        <f t="shared" si="29"/>
        <v>0</v>
      </c>
      <c r="S58" s="32">
        <f t="shared" si="30"/>
        <v>0</v>
      </c>
      <c r="T58" s="32">
        <f t="shared" si="31"/>
        <v>0</v>
      </c>
      <c r="U58" s="32">
        <f t="shared" si="32"/>
        <v>0</v>
      </c>
      <c r="V58" s="32">
        <f t="shared" si="33"/>
        <v>0</v>
      </c>
      <c r="W58" s="32">
        <f t="shared" si="34"/>
        <v>0</v>
      </c>
      <c r="X58" s="32">
        <f t="shared" si="35"/>
        <v>0</v>
      </c>
      <c r="Y58" s="32">
        <f t="shared" si="36"/>
        <v>0</v>
      </c>
      <c r="Z58" s="32">
        <f t="shared" si="37"/>
        <v>0</v>
      </c>
      <c r="AA58" s="32">
        <f t="shared" si="38"/>
        <v>5.8735362997658083</v>
      </c>
      <c r="AB58" s="31">
        <f t="shared" si="39"/>
        <v>0</v>
      </c>
      <c r="AC58" s="31">
        <f t="shared" si="40"/>
        <v>0</v>
      </c>
      <c r="AD58" s="32">
        <f t="shared" si="41"/>
        <v>0</v>
      </c>
      <c r="AE58" s="34">
        <f t="shared" si="42"/>
        <v>0</v>
      </c>
    </row>
    <row r="59" spans="1:31" ht="20.100000000000001" hidden="1" customHeight="1" x14ac:dyDescent="0.2">
      <c r="A59" s="39">
        <f t="shared" si="43"/>
        <v>5</v>
      </c>
      <c r="B59" s="31">
        <f t="shared" si="13"/>
        <v>84.710743801652896</v>
      </c>
      <c r="C59" s="31">
        <f t="shared" si="14"/>
        <v>0</v>
      </c>
      <c r="D59" s="31">
        <f t="shared" si="15"/>
        <v>0</v>
      </c>
      <c r="E59" s="31">
        <f t="shared" si="16"/>
        <v>0</v>
      </c>
      <c r="F59" s="31">
        <f t="shared" si="17"/>
        <v>0</v>
      </c>
      <c r="G59" s="31">
        <f t="shared" si="18"/>
        <v>0</v>
      </c>
      <c r="H59" s="32">
        <f t="shared" si="19"/>
        <v>0</v>
      </c>
      <c r="I59" s="32">
        <f t="shared" si="20"/>
        <v>0</v>
      </c>
      <c r="J59" s="32">
        <f t="shared" si="21"/>
        <v>0</v>
      </c>
      <c r="K59" s="32">
        <f t="shared" si="22"/>
        <v>0</v>
      </c>
      <c r="L59" s="32">
        <f t="shared" si="23"/>
        <v>0</v>
      </c>
      <c r="M59" s="32">
        <f t="shared" si="24"/>
        <v>0</v>
      </c>
      <c r="N59" s="32">
        <f t="shared" si="25"/>
        <v>0</v>
      </c>
      <c r="O59" s="32">
        <f t="shared" si="26"/>
        <v>0</v>
      </c>
      <c r="P59" s="32">
        <f t="shared" si="27"/>
        <v>0</v>
      </c>
      <c r="Q59" s="32">
        <f t="shared" si="28"/>
        <v>0</v>
      </c>
      <c r="R59" s="32">
        <f t="shared" si="29"/>
        <v>0</v>
      </c>
      <c r="S59" s="32">
        <f t="shared" si="30"/>
        <v>0</v>
      </c>
      <c r="T59" s="32">
        <f t="shared" si="31"/>
        <v>0</v>
      </c>
      <c r="U59" s="32">
        <f t="shared" si="32"/>
        <v>0</v>
      </c>
      <c r="V59" s="32">
        <f t="shared" si="33"/>
        <v>0</v>
      </c>
      <c r="W59" s="32">
        <f t="shared" si="34"/>
        <v>0</v>
      </c>
      <c r="X59" s="32">
        <f t="shared" si="35"/>
        <v>0</v>
      </c>
      <c r="Y59" s="32">
        <f t="shared" si="36"/>
        <v>0</v>
      </c>
      <c r="Z59" s="32">
        <f t="shared" si="37"/>
        <v>12.396694214876034</v>
      </c>
      <c r="AA59" s="32">
        <f t="shared" si="38"/>
        <v>0</v>
      </c>
      <c r="AB59" s="31">
        <f t="shared" si="39"/>
        <v>0</v>
      </c>
      <c r="AC59" s="31">
        <f t="shared" si="40"/>
        <v>0</v>
      </c>
      <c r="AD59" s="32">
        <f t="shared" si="41"/>
        <v>0.6</v>
      </c>
      <c r="AE59" s="34">
        <f t="shared" si="42"/>
        <v>0.1</v>
      </c>
    </row>
    <row r="60" spans="1:31" ht="20.100000000000001" hidden="1" customHeight="1" x14ac:dyDescent="0.2">
      <c r="A60" s="39">
        <f t="shared" si="43"/>
        <v>6</v>
      </c>
      <c r="B60" s="31">
        <f t="shared" si="13"/>
        <v>0</v>
      </c>
      <c r="C60" s="31">
        <f t="shared" si="14"/>
        <v>0</v>
      </c>
      <c r="D60" s="31">
        <f t="shared" si="15"/>
        <v>0</v>
      </c>
      <c r="E60" s="31">
        <f t="shared" si="16"/>
        <v>0</v>
      </c>
      <c r="F60" s="31">
        <f t="shared" si="17"/>
        <v>0</v>
      </c>
      <c r="G60" s="31">
        <f t="shared" si="18"/>
        <v>0</v>
      </c>
      <c r="H60" s="32">
        <f t="shared" si="19"/>
        <v>0</v>
      </c>
      <c r="I60" s="32">
        <f t="shared" si="20"/>
        <v>0</v>
      </c>
      <c r="J60" s="32">
        <f t="shared" si="21"/>
        <v>0</v>
      </c>
      <c r="K60" s="32">
        <f t="shared" si="22"/>
        <v>0</v>
      </c>
      <c r="L60" s="32">
        <f t="shared" si="23"/>
        <v>0</v>
      </c>
      <c r="M60" s="32">
        <f t="shared" si="24"/>
        <v>0</v>
      </c>
      <c r="N60" s="32">
        <f t="shared" si="25"/>
        <v>0</v>
      </c>
      <c r="O60" s="32">
        <f t="shared" si="26"/>
        <v>0</v>
      </c>
      <c r="P60" s="32">
        <f t="shared" si="27"/>
        <v>0</v>
      </c>
      <c r="Q60" s="32">
        <f t="shared" si="28"/>
        <v>0</v>
      </c>
      <c r="R60" s="32">
        <f t="shared" si="29"/>
        <v>0</v>
      </c>
      <c r="S60" s="32">
        <f t="shared" si="30"/>
        <v>0</v>
      </c>
      <c r="T60" s="32">
        <f t="shared" si="31"/>
        <v>0</v>
      </c>
      <c r="U60" s="32">
        <f t="shared" si="32"/>
        <v>0</v>
      </c>
      <c r="V60" s="32">
        <f t="shared" si="33"/>
        <v>0</v>
      </c>
      <c r="W60" s="32">
        <f t="shared" si="34"/>
        <v>0</v>
      </c>
      <c r="X60" s="32">
        <f t="shared" si="35"/>
        <v>0</v>
      </c>
      <c r="Y60" s="32">
        <f t="shared" si="36"/>
        <v>0</v>
      </c>
      <c r="Z60" s="32">
        <f t="shared" si="37"/>
        <v>0</v>
      </c>
      <c r="AA60" s="32">
        <f t="shared" si="38"/>
        <v>5.8735362997658083</v>
      </c>
      <c r="AB60" s="31">
        <f t="shared" si="39"/>
        <v>0</v>
      </c>
      <c r="AC60" s="31">
        <f t="shared" si="40"/>
        <v>2.5</v>
      </c>
      <c r="AD60" s="32">
        <f t="shared" si="41"/>
        <v>0</v>
      </c>
      <c r="AE60" s="34">
        <f t="shared" si="42"/>
        <v>0</v>
      </c>
    </row>
    <row r="61" spans="1:31" ht="20.100000000000001" hidden="1" customHeight="1" x14ac:dyDescent="0.2">
      <c r="A61" s="39">
        <f t="shared" si="43"/>
        <v>7</v>
      </c>
      <c r="B61" s="31">
        <f t="shared" si="13"/>
        <v>0</v>
      </c>
      <c r="C61" s="31">
        <f t="shared" si="14"/>
        <v>0</v>
      </c>
      <c r="D61" s="31">
        <f t="shared" si="15"/>
        <v>0</v>
      </c>
      <c r="E61" s="31">
        <f t="shared" si="16"/>
        <v>0</v>
      </c>
      <c r="F61" s="31">
        <f t="shared" si="17"/>
        <v>0</v>
      </c>
      <c r="G61" s="31">
        <f t="shared" si="18"/>
        <v>0</v>
      </c>
      <c r="H61" s="32">
        <f t="shared" si="19"/>
        <v>0</v>
      </c>
      <c r="I61" s="32">
        <f t="shared" si="20"/>
        <v>0</v>
      </c>
      <c r="J61" s="32">
        <f t="shared" si="21"/>
        <v>0</v>
      </c>
      <c r="K61" s="32">
        <f t="shared" si="22"/>
        <v>0</v>
      </c>
      <c r="L61" s="32">
        <f t="shared" si="23"/>
        <v>43.072599531615921</v>
      </c>
      <c r="M61" s="32">
        <f t="shared" si="24"/>
        <v>0</v>
      </c>
      <c r="N61" s="32">
        <f t="shared" si="25"/>
        <v>0</v>
      </c>
      <c r="O61" s="32">
        <f t="shared" si="26"/>
        <v>0</v>
      </c>
      <c r="P61" s="32">
        <f t="shared" si="27"/>
        <v>0</v>
      </c>
      <c r="Q61" s="32">
        <f t="shared" si="28"/>
        <v>0</v>
      </c>
      <c r="R61" s="32">
        <f t="shared" si="29"/>
        <v>0</v>
      </c>
      <c r="S61" s="32">
        <f t="shared" si="30"/>
        <v>0</v>
      </c>
      <c r="T61" s="32">
        <f t="shared" si="31"/>
        <v>0</v>
      </c>
      <c r="U61" s="32">
        <f t="shared" si="32"/>
        <v>0</v>
      </c>
      <c r="V61" s="32">
        <f t="shared" si="33"/>
        <v>0</v>
      </c>
      <c r="W61" s="32">
        <f t="shared" si="34"/>
        <v>0</v>
      </c>
      <c r="X61" s="32">
        <f t="shared" si="35"/>
        <v>0</v>
      </c>
      <c r="Y61" s="32">
        <f t="shared" si="36"/>
        <v>0</v>
      </c>
      <c r="Z61" s="32">
        <f t="shared" si="37"/>
        <v>0</v>
      </c>
      <c r="AA61" s="32">
        <f t="shared" si="38"/>
        <v>0</v>
      </c>
      <c r="AB61" s="31">
        <f t="shared" si="39"/>
        <v>0</v>
      </c>
      <c r="AC61" s="31">
        <f t="shared" si="40"/>
        <v>2.5</v>
      </c>
      <c r="AD61" s="32">
        <f t="shared" si="41"/>
        <v>0</v>
      </c>
      <c r="AE61" s="34">
        <f t="shared" si="42"/>
        <v>0</v>
      </c>
    </row>
    <row r="62" spans="1:31" ht="20.100000000000001" hidden="1" customHeight="1" x14ac:dyDescent="0.2">
      <c r="A62" s="39">
        <f t="shared" si="43"/>
        <v>8</v>
      </c>
      <c r="B62" s="31">
        <f t="shared" si="13"/>
        <v>0</v>
      </c>
      <c r="C62" s="31">
        <f t="shared" si="14"/>
        <v>0</v>
      </c>
      <c r="D62" s="31">
        <f t="shared" si="15"/>
        <v>0</v>
      </c>
      <c r="E62" s="31">
        <f t="shared" si="16"/>
        <v>0</v>
      </c>
      <c r="F62" s="31">
        <f t="shared" si="17"/>
        <v>0</v>
      </c>
      <c r="G62" s="31">
        <f t="shared" si="18"/>
        <v>0</v>
      </c>
      <c r="H62" s="32">
        <f t="shared" si="19"/>
        <v>0</v>
      </c>
      <c r="I62" s="32">
        <f t="shared" si="20"/>
        <v>0</v>
      </c>
      <c r="J62" s="32">
        <f t="shared" si="21"/>
        <v>0</v>
      </c>
      <c r="K62" s="32">
        <f t="shared" si="22"/>
        <v>0</v>
      </c>
      <c r="L62" s="32">
        <f t="shared" si="23"/>
        <v>0</v>
      </c>
      <c r="M62" s="32">
        <f t="shared" si="24"/>
        <v>0</v>
      </c>
      <c r="N62" s="32">
        <f t="shared" si="25"/>
        <v>0</v>
      </c>
      <c r="O62" s="32">
        <f t="shared" si="26"/>
        <v>0</v>
      </c>
      <c r="P62" s="32">
        <f t="shared" si="27"/>
        <v>0</v>
      </c>
      <c r="Q62" s="32">
        <f t="shared" si="28"/>
        <v>0</v>
      </c>
      <c r="R62" s="32">
        <f t="shared" si="29"/>
        <v>0</v>
      </c>
      <c r="S62" s="32">
        <f t="shared" si="30"/>
        <v>0</v>
      </c>
      <c r="T62" s="32">
        <f t="shared" si="31"/>
        <v>0</v>
      </c>
      <c r="U62" s="32">
        <f t="shared" si="32"/>
        <v>0</v>
      </c>
      <c r="V62" s="32">
        <f t="shared" si="33"/>
        <v>0</v>
      </c>
      <c r="W62" s="32">
        <f t="shared" si="34"/>
        <v>0</v>
      </c>
      <c r="X62" s="32">
        <f t="shared" si="35"/>
        <v>0</v>
      </c>
      <c r="Y62" s="32">
        <f t="shared" si="36"/>
        <v>0</v>
      </c>
      <c r="Z62" s="32">
        <f t="shared" si="37"/>
        <v>0</v>
      </c>
      <c r="AA62" s="32">
        <f t="shared" si="38"/>
        <v>0</v>
      </c>
      <c r="AB62" s="31">
        <f t="shared" si="39"/>
        <v>0</v>
      </c>
      <c r="AC62" s="31">
        <f t="shared" si="40"/>
        <v>0</v>
      </c>
      <c r="AD62" s="32">
        <f t="shared" si="41"/>
        <v>0</v>
      </c>
      <c r="AE62" s="34">
        <f t="shared" si="42"/>
        <v>0</v>
      </c>
    </row>
    <row r="63" spans="1:31" ht="20.100000000000001" hidden="1" customHeight="1" x14ac:dyDescent="0.2">
      <c r="A63" s="39">
        <f t="shared" si="43"/>
        <v>9</v>
      </c>
      <c r="B63" s="31">
        <f t="shared" si="13"/>
        <v>0</v>
      </c>
      <c r="C63" s="31">
        <f t="shared" si="14"/>
        <v>0</v>
      </c>
      <c r="D63" s="31">
        <f t="shared" si="15"/>
        <v>0</v>
      </c>
      <c r="E63" s="31">
        <f t="shared" si="16"/>
        <v>0</v>
      </c>
      <c r="F63" s="31">
        <f t="shared" si="17"/>
        <v>0</v>
      </c>
      <c r="G63" s="31">
        <f t="shared" si="18"/>
        <v>0</v>
      </c>
      <c r="H63" s="32">
        <f t="shared" si="19"/>
        <v>0</v>
      </c>
      <c r="I63" s="32">
        <f t="shared" si="20"/>
        <v>0</v>
      </c>
      <c r="J63" s="32">
        <f t="shared" si="21"/>
        <v>0</v>
      </c>
      <c r="K63" s="32">
        <f t="shared" si="22"/>
        <v>0</v>
      </c>
      <c r="L63" s="32">
        <f t="shared" si="23"/>
        <v>0</v>
      </c>
      <c r="M63" s="32">
        <f t="shared" si="24"/>
        <v>0</v>
      </c>
      <c r="N63" s="32">
        <f t="shared" si="25"/>
        <v>0</v>
      </c>
      <c r="O63" s="32">
        <f t="shared" si="26"/>
        <v>0</v>
      </c>
      <c r="P63" s="32">
        <f t="shared" si="27"/>
        <v>0</v>
      </c>
      <c r="Q63" s="32">
        <f t="shared" si="28"/>
        <v>0</v>
      </c>
      <c r="R63" s="32">
        <f t="shared" si="29"/>
        <v>0</v>
      </c>
      <c r="S63" s="32">
        <f t="shared" si="30"/>
        <v>0</v>
      </c>
      <c r="T63" s="32">
        <f t="shared" si="31"/>
        <v>0</v>
      </c>
      <c r="U63" s="32">
        <f t="shared" si="32"/>
        <v>0</v>
      </c>
      <c r="V63" s="32">
        <f t="shared" si="33"/>
        <v>0</v>
      </c>
      <c r="W63" s="32">
        <f t="shared" si="34"/>
        <v>0</v>
      </c>
      <c r="X63" s="32">
        <f t="shared" si="35"/>
        <v>0</v>
      </c>
      <c r="Y63" s="32">
        <f t="shared" si="36"/>
        <v>0</v>
      </c>
      <c r="Z63" s="32">
        <f t="shared" si="37"/>
        <v>0</v>
      </c>
      <c r="AA63" s="32">
        <f t="shared" si="38"/>
        <v>0</v>
      </c>
      <c r="AB63" s="31">
        <f t="shared" si="39"/>
        <v>0</v>
      </c>
      <c r="AC63" s="31">
        <f t="shared" si="40"/>
        <v>0</v>
      </c>
      <c r="AD63" s="32">
        <f t="shared" si="41"/>
        <v>0</v>
      </c>
      <c r="AE63" s="34">
        <f t="shared" si="42"/>
        <v>0</v>
      </c>
    </row>
    <row r="64" spans="1:31" ht="20.100000000000001" hidden="1" customHeight="1" x14ac:dyDescent="0.2">
      <c r="A64" s="39">
        <f t="shared" si="43"/>
        <v>10</v>
      </c>
      <c r="B64" s="31">
        <f t="shared" si="13"/>
        <v>0</v>
      </c>
      <c r="C64" s="31">
        <f t="shared" si="14"/>
        <v>0</v>
      </c>
      <c r="D64" s="31">
        <f t="shared" si="15"/>
        <v>0</v>
      </c>
      <c r="E64" s="31">
        <f t="shared" si="16"/>
        <v>0</v>
      </c>
      <c r="F64" s="31">
        <f t="shared" si="17"/>
        <v>0</v>
      </c>
      <c r="G64" s="31">
        <f t="shared" si="18"/>
        <v>0</v>
      </c>
      <c r="H64" s="32">
        <f t="shared" si="19"/>
        <v>0</v>
      </c>
      <c r="I64" s="32">
        <f t="shared" si="20"/>
        <v>0</v>
      </c>
      <c r="J64" s="32">
        <f t="shared" si="21"/>
        <v>0</v>
      </c>
      <c r="K64" s="32">
        <f t="shared" si="22"/>
        <v>0</v>
      </c>
      <c r="L64" s="32">
        <f t="shared" si="23"/>
        <v>0</v>
      </c>
      <c r="M64" s="32">
        <f t="shared" si="24"/>
        <v>0</v>
      </c>
      <c r="N64" s="32">
        <f t="shared" si="25"/>
        <v>0</v>
      </c>
      <c r="O64" s="32">
        <f t="shared" si="26"/>
        <v>0</v>
      </c>
      <c r="P64" s="32">
        <f t="shared" si="27"/>
        <v>0</v>
      </c>
      <c r="Q64" s="32">
        <f t="shared" si="28"/>
        <v>0</v>
      </c>
      <c r="R64" s="32">
        <f t="shared" si="29"/>
        <v>0</v>
      </c>
      <c r="S64" s="32">
        <f t="shared" si="30"/>
        <v>0</v>
      </c>
      <c r="T64" s="32">
        <f t="shared" si="31"/>
        <v>0</v>
      </c>
      <c r="U64" s="32">
        <f t="shared" si="32"/>
        <v>0</v>
      </c>
      <c r="V64" s="32">
        <f t="shared" si="33"/>
        <v>0</v>
      </c>
      <c r="W64" s="32">
        <f t="shared" si="34"/>
        <v>0</v>
      </c>
      <c r="X64" s="32">
        <f t="shared" si="35"/>
        <v>0</v>
      </c>
      <c r="Y64" s="32">
        <f t="shared" si="36"/>
        <v>0</v>
      </c>
      <c r="Z64" s="32">
        <f t="shared" si="37"/>
        <v>0</v>
      </c>
      <c r="AA64" s="32">
        <f t="shared" si="38"/>
        <v>0</v>
      </c>
      <c r="AB64" s="31">
        <f t="shared" si="39"/>
        <v>0</v>
      </c>
      <c r="AC64" s="31">
        <f t="shared" si="40"/>
        <v>0</v>
      </c>
      <c r="AD64" s="32">
        <f t="shared" si="41"/>
        <v>0</v>
      </c>
      <c r="AE64" s="34">
        <f t="shared" si="42"/>
        <v>0</v>
      </c>
    </row>
    <row r="65" spans="1:31" ht="20.100000000000001" hidden="1" customHeight="1" x14ac:dyDescent="0.2">
      <c r="A65" s="39">
        <f t="shared" si="43"/>
        <v>11</v>
      </c>
      <c r="B65" s="31">
        <f t="shared" si="13"/>
        <v>0</v>
      </c>
      <c r="C65" s="31">
        <f t="shared" si="14"/>
        <v>0</v>
      </c>
      <c r="D65" s="31">
        <f t="shared" si="15"/>
        <v>0</v>
      </c>
      <c r="E65" s="31">
        <f t="shared" si="16"/>
        <v>0</v>
      </c>
      <c r="F65" s="31">
        <f t="shared" si="17"/>
        <v>0</v>
      </c>
      <c r="G65" s="31">
        <f t="shared" si="18"/>
        <v>0</v>
      </c>
      <c r="H65" s="32">
        <f t="shared" si="19"/>
        <v>0</v>
      </c>
      <c r="I65" s="32">
        <f t="shared" si="20"/>
        <v>0</v>
      </c>
      <c r="J65" s="32">
        <f t="shared" si="21"/>
        <v>0</v>
      </c>
      <c r="K65" s="32">
        <f t="shared" si="22"/>
        <v>0</v>
      </c>
      <c r="L65" s="32">
        <f t="shared" si="23"/>
        <v>0</v>
      </c>
      <c r="M65" s="32">
        <f t="shared" si="24"/>
        <v>0</v>
      </c>
      <c r="N65" s="32">
        <f t="shared" si="25"/>
        <v>0</v>
      </c>
      <c r="O65" s="32">
        <f t="shared" si="26"/>
        <v>0</v>
      </c>
      <c r="P65" s="32">
        <f t="shared" si="27"/>
        <v>0</v>
      </c>
      <c r="Q65" s="32">
        <f t="shared" si="28"/>
        <v>0</v>
      </c>
      <c r="R65" s="32">
        <f t="shared" si="29"/>
        <v>0</v>
      </c>
      <c r="S65" s="32">
        <f t="shared" si="30"/>
        <v>0</v>
      </c>
      <c r="T65" s="32">
        <f t="shared" si="31"/>
        <v>0</v>
      </c>
      <c r="U65" s="32">
        <f t="shared" si="32"/>
        <v>0</v>
      </c>
      <c r="V65" s="32">
        <f t="shared" si="33"/>
        <v>0</v>
      </c>
      <c r="W65" s="32">
        <f t="shared" si="34"/>
        <v>0</v>
      </c>
      <c r="X65" s="32">
        <f t="shared" si="35"/>
        <v>0</v>
      </c>
      <c r="Y65" s="32">
        <f t="shared" si="36"/>
        <v>0</v>
      </c>
      <c r="Z65" s="32">
        <f t="shared" si="37"/>
        <v>0</v>
      </c>
      <c r="AA65" s="32">
        <f t="shared" si="38"/>
        <v>0</v>
      </c>
      <c r="AB65" s="31">
        <f t="shared" si="39"/>
        <v>0</v>
      </c>
      <c r="AC65" s="31">
        <f t="shared" si="40"/>
        <v>0</v>
      </c>
      <c r="AD65" s="32">
        <f t="shared" si="41"/>
        <v>0</v>
      </c>
      <c r="AE65" s="34">
        <f t="shared" si="42"/>
        <v>0</v>
      </c>
    </row>
    <row r="66" spans="1:31" ht="20.100000000000001" hidden="1" customHeight="1" x14ac:dyDescent="0.2">
      <c r="A66" s="39">
        <f t="shared" si="43"/>
        <v>12</v>
      </c>
      <c r="B66" s="31">
        <f t="shared" si="13"/>
        <v>0</v>
      </c>
      <c r="C66" s="31">
        <f t="shared" si="14"/>
        <v>0</v>
      </c>
      <c r="D66" s="31">
        <f t="shared" si="15"/>
        <v>0</v>
      </c>
      <c r="E66" s="31">
        <f t="shared" si="16"/>
        <v>0</v>
      </c>
      <c r="F66" s="31">
        <f t="shared" si="17"/>
        <v>0</v>
      </c>
      <c r="G66" s="31">
        <f t="shared" si="18"/>
        <v>0</v>
      </c>
      <c r="H66" s="32">
        <f t="shared" si="19"/>
        <v>0</v>
      </c>
      <c r="I66" s="32">
        <f t="shared" si="20"/>
        <v>0</v>
      </c>
      <c r="J66" s="32">
        <f t="shared" si="21"/>
        <v>0</v>
      </c>
      <c r="K66" s="32">
        <f t="shared" si="22"/>
        <v>0</v>
      </c>
      <c r="L66" s="32">
        <f t="shared" si="23"/>
        <v>0</v>
      </c>
      <c r="M66" s="32">
        <f t="shared" si="24"/>
        <v>0</v>
      </c>
      <c r="N66" s="32">
        <f t="shared" si="25"/>
        <v>0</v>
      </c>
      <c r="O66" s="32">
        <f t="shared" si="26"/>
        <v>0</v>
      </c>
      <c r="P66" s="32">
        <f t="shared" si="27"/>
        <v>0</v>
      </c>
      <c r="Q66" s="32">
        <f t="shared" si="28"/>
        <v>0</v>
      </c>
      <c r="R66" s="32">
        <f t="shared" si="29"/>
        <v>0</v>
      </c>
      <c r="S66" s="32">
        <f t="shared" si="30"/>
        <v>0</v>
      </c>
      <c r="T66" s="32">
        <f t="shared" si="31"/>
        <v>0</v>
      </c>
      <c r="U66" s="32">
        <f t="shared" si="32"/>
        <v>0</v>
      </c>
      <c r="V66" s="32">
        <f t="shared" si="33"/>
        <v>0</v>
      </c>
      <c r="W66" s="32">
        <f t="shared" si="34"/>
        <v>0</v>
      </c>
      <c r="X66" s="32">
        <f t="shared" si="35"/>
        <v>0</v>
      </c>
      <c r="Y66" s="32">
        <f t="shared" si="36"/>
        <v>0</v>
      </c>
      <c r="Z66" s="32">
        <f t="shared" si="37"/>
        <v>0</v>
      </c>
      <c r="AA66" s="32">
        <f t="shared" si="38"/>
        <v>0</v>
      </c>
      <c r="AB66" s="31">
        <f t="shared" si="39"/>
        <v>0</v>
      </c>
      <c r="AC66" s="31">
        <f t="shared" si="40"/>
        <v>0</v>
      </c>
      <c r="AD66" s="32">
        <f t="shared" si="41"/>
        <v>0</v>
      </c>
      <c r="AE66" s="34">
        <f t="shared" si="42"/>
        <v>0</v>
      </c>
    </row>
    <row r="67" spans="1:31" ht="20.100000000000001" hidden="1" customHeight="1" x14ac:dyDescent="0.2">
      <c r="A67" s="39">
        <f t="shared" si="43"/>
        <v>13</v>
      </c>
      <c r="B67" s="31">
        <f t="shared" si="13"/>
        <v>0</v>
      </c>
      <c r="C67" s="31">
        <f t="shared" si="14"/>
        <v>0</v>
      </c>
      <c r="D67" s="31">
        <f t="shared" si="15"/>
        <v>0</v>
      </c>
      <c r="E67" s="31">
        <f t="shared" si="16"/>
        <v>0</v>
      </c>
      <c r="F67" s="31">
        <f t="shared" si="17"/>
        <v>0</v>
      </c>
      <c r="G67" s="31">
        <f t="shared" si="18"/>
        <v>0</v>
      </c>
      <c r="H67" s="32">
        <f t="shared" si="19"/>
        <v>0</v>
      </c>
      <c r="I67" s="32">
        <f t="shared" si="20"/>
        <v>0</v>
      </c>
      <c r="J67" s="32">
        <f t="shared" si="21"/>
        <v>0</v>
      </c>
      <c r="K67" s="32">
        <f t="shared" si="22"/>
        <v>0</v>
      </c>
      <c r="L67" s="32">
        <f t="shared" si="23"/>
        <v>0</v>
      </c>
      <c r="M67" s="32">
        <f t="shared" si="24"/>
        <v>0</v>
      </c>
      <c r="N67" s="32">
        <f t="shared" si="25"/>
        <v>0</v>
      </c>
      <c r="O67" s="32">
        <f t="shared" si="26"/>
        <v>0</v>
      </c>
      <c r="P67" s="32">
        <f t="shared" si="27"/>
        <v>0</v>
      </c>
      <c r="Q67" s="32">
        <f t="shared" si="28"/>
        <v>0</v>
      </c>
      <c r="R67" s="32">
        <f t="shared" si="29"/>
        <v>0</v>
      </c>
      <c r="S67" s="32">
        <f t="shared" si="30"/>
        <v>0</v>
      </c>
      <c r="T67" s="32">
        <f t="shared" si="31"/>
        <v>0</v>
      </c>
      <c r="U67" s="32">
        <f t="shared" si="32"/>
        <v>0</v>
      </c>
      <c r="V67" s="32">
        <f t="shared" si="33"/>
        <v>0</v>
      </c>
      <c r="W67" s="32">
        <f t="shared" si="34"/>
        <v>0</v>
      </c>
      <c r="X67" s="32">
        <f t="shared" si="35"/>
        <v>0</v>
      </c>
      <c r="Y67" s="32">
        <f t="shared" si="36"/>
        <v>0</v>
      </c>
      <c r="Z67" s="32">
        <f t="shared" si="37"/>
        <v>0</v>
      </c>
      <c r="AA67" s="32">
        <f t="shared" si="38"/>
        <v>0</v>
      </c>
      <c r="AB67" s="31">
        <f t="shared" si="39"/>
        <v>0</v>
      </c>
      <c r="AC67" s="31">
        <f t="shared" si="40"/>
        <v>0</v>
      </c>
      <c r="AD67" s="32">
        <f t="shared" si="41"/>
        <v>0</v>
      </c>
      <c r="AE67" s="34">
        <f t="shared" si="42"/>
        <v>0</v>
      </c>
    </row>
    <row r="68" spans="1:31" ht="20.100000000000001" hidden="1" customHeight="1" x14ac:dyDescent="0.2">
      <c r="A68" s="39">
        <f t="shared" si="43"/>
        <v>14</v>
      </c>
      <c r="B68" s="31">
        <f t="shared" si="13"/>
        <v>0</v>
      </c>
      <c r="C68" s="31">
        <f t="shared" si="14"/>
        <v>0</v>
      </c>
      <c r="D68" s="31">
        <f t="shared" si="15"/>
        <v>0</v>
      </c>
      <c r="E68" s="31">
        <f t="shared" si="16"/>
        <v>0</v>
      </c>
      <c r="F68" s="31">
        <f t="shared" si="17"/>
        <v>0</v>
      </c>
      <c r="G68" s="31">
        <f t="shared" si="18"/>
        <v>0</v>
      </c>
      <c r="H68" s="32">
        <f t="shared" si="19"/>
        <v>0</v>
      </c>
      <c r="I68" s="32">
        <f t="shared" si="20"/>
        <v>0</v>
      </c>
      <c r="J68" s="32">
        <f t="shared" si="21"/>
        <v>0</v>
      </c>
      <c r="K68" s="32">
        <f t="shared" si="22"/>
        <v>0</v>
      </c>
      <c r="L68" s="32">
        <f t="shared" si="23"/>
        <v>0</v>
      </c>
      <c r="M68" s="32">
        <f t="shared" si="24"/>
        <v>0</v>
      </c>
      <c r="N68" s="32">
        <f t="shared" si="25"/>
        <v>0</v>
      </c>
      <c r="O68" s="32">
        <f t="shared" si="26"/>
        <v>0</v>
      </c>
      <c r="P68" s="32">
        <f t="shared" si="27"/>
        <v>0</v>
      </c>
      <c r="Q68" s="32">
        <f t="shared" si="28"/>
        <v>0</v>
      </c>
      <c r="R68" s="32">
        <f t="shared" si="29"/>
        <v>0</v>
      </c>
      <c r="S68" s="32">
        <f t="shared" si="30"/>
        <v>0</v>
      </c>
      <c r="T68" s="32">
        <f t="shared" si="31"/>
        <v>0</v>
      </c>
      <c r="U68" s="32">
        <f t="shared" si="32"/>
        <v>0</v>
      </c>
      <c r="V68" s="32">
        <f t="shared" si="33"/>
        <v>0</v>
      </c>
      <c r="W68" s="32">
        <f t="shared" si="34"/>
        <v>0</v>
      </c>
      <c r="X68" s="32">
        <f t="shared" si="35"/>
        <v>0</v>
      </c>
      <c r="Y68" s="32">
        <f t="shared" si="36"/>
        <v>0</v>
      </c>
      <c r="Z68" s="32">
        <f t="shared" si="37"/>
        <v>0</v>
      </c>
      <c r="AA68" s="32">
        <f t="shared" si="38"/>
        <v>0</v>
      </c>
      <c r="AB68" s="31">
        <f t="shared" si="39"/>
        <v>0</v>
      </c>
      <c r="AC68" s="31">
        <f t="shared" si="40"/>
        <v>0</v>
      </c>
      <c r="AD68" s="32">
        <f t="shared" si="41"/>
        <v>0</v>
      </c>
      <c r="AE68" s="34">
        <f t="shared" si="42"/>
        <v>0</v>
      </c>
    </row>
    <row r="69" spans="1:31" ht="20.100000000000001" hidden="1" customHeight="1" x14ac:dyDescent="0.2">
      <c r="A69" s="39">
        <f t="shared" si="43"/>
        <v>15</v>
      </c>
      <c r="B69" s="31">
        <f t="shared" si="13"/>
        <v>0</v>
      </c>
      <c r="C69" s="31">
        <f t="shared" si="14"/>
        <v>0</v>
      </c>
      <c r="D69" s="31">
        <f t="shared" si="15"/>
        <v>0</v>
      </c>
      <c r="E69" s="31">
        <f t="shared" si="16"/>
        <v>0</v>
      </c>
      <c r="F69" s="31">
        <f t="shared" si="17"/>
        <v>0</v>
      </c>
      <c r="G69" s="31">
        <f t="shared" si="18"/>
        <v>0</v>
      </c>
      <c r="H69" s="32">
        <f t="shared" si="19"/>
        <v>0</v>
      </c>
      <c r="I69" s="32">
        <f t="shared" si="20"/>
        <v>0</v>
      </c>
      <c r="J69" s="32">
        <f t="shared" si="21"/>
        <v>0</v>
      </c>
      <c r="K69" s="32">
        <f t="shared" si="22"/>
        <v>0</v>
      </c>
      <c r="L69" s="32">
        <f t="shared" si="23"/>
        <v>0</v>
      </c>
      <c r="M69" s="32">
        <f t="shared" si="24"/>
        <v>0</v>
      </c>
      <c r="N69" s="32">
        <f t="shared" si="25"/>
        <v>0</v>
      </c>
      <c r="O69" s="32">
        <f t="shared" si="26"/>
        <v>0</v>
      </c>
      <c r="P69" s="32">
        <f t="shared" si="27"/>
        <v>0</v>
      </c>
      <c r="Q69" s="32">
        <f t="shared" si="28"/>
        <v>0</v>
      </c>
      <c r="R69" s="32">
        <f t="shared" si="29"/>
        <v>0</v>
      </c>
      <c r="S69" s="32">
        <f t="shared" si="30"/>
        <v>0</v>
      </c>
      <c r="T69" s="32">
        <f t="shared" si="31"/>
        <v>0</v>
      </c>
      <c r="U69" s="32">
        <f t="shared" si="32"/>
        <v>0</v>
      </c>
      <c r="V69" s="32">
        <f t="shared" si="33"/>
        <v>0</v>
      </c>
      <c r="W69" s="32">
        <f t="shared" si="34"/>
        <v>0</v>
      </c>
      <c r="X69" s="32">
        <f t="shared" si="35"/>
        <v>0</v>
      </c>
      <c r="Y69" s="32">
        <f t="shared" si="36"/>
        <v>0</v>
      </c>
      <c r="Z69" s="32">
        <f t="shared" si="37"/>
        <v>0</v>
      </c>
      <c r="AA69" s="32">
        <f t="shared" si="38"/>
        <v>0</v>
      </c>
      <c r="AB69" s="31">
        <f t="shared" si="39"/>
        <v>0</v>
      </c>
      <c r="AC69" s="31">
        <f t="shared" si="40"/>
        <v>0</v>
      </c>
      <c r="AD69" s="32">
        <f t="shared" si="41"/>
        <v>0</v>
      </c>
      <c r="AE69" s="34">
        <f t="shared" si="42"/>
        <v>0</v>
      </c>
    </row>
    <row r="70" spans="1:31" ht="20.100000000000001" hidden="1" customHeight="1" x14ac:dyDescent="0.2">
      <c r="A70" s="39">
        <f t="shared" si="43"/>
        <v>16</v>
      </c>
      <c r="B70" s="31">
        <f t="shared" si="13"/>
        <v>0</v>
      </c>
      <c r="C70" s="31">
        <f t="shared" si="14"/>
        <v>0</v>
      </c>
      <c r="D70" s="31">
        <f t="shared" si="15"/>
        <v>0</v>
      </c>
      <c r="E70" s="31">
        <f t="shared" si="16"/>
        <v>0</v>
      </c>
      <c r="F70" s="31">
        <f t="shared" si="17"/>
        <v>0</v>
      </c>
      <c r="G70" s="31">
        <f t="shared" si="18"/>
        <v>0</v>
      </c>
      <c r="H70" s="32">
        <f t="shared" si="19"/>
        <v>0</v>
      </c>
      <c r="I70" s="32">
        <f t="shared" si="20"/>
        <v>0</v>
      </c>
      <c r="J70" s="32">
        <f t="shared" si="21"/>
        <v>0</v>
      </c>
      <c r="K70" s="32">
        <f t="shared" si="22"/>
        <v>0</v>
      </c>
      <c r="L70" s="32">
        <f t="shared" si="23"/>
        <v>0</v>
      </c>
      <c r="M70" s="32">
        <f t="shared" si="24"/>
        <v>0</v>
      </c>
      <c r="N70" s="32">
        <f t="shared" si="25"/>
        <v>0</v>
      </c>
      <c r="O70" s="32">
        <f t="shared" si="26"/>
        <v>0</v>
      </c>
      <c r="P70" s="32">
        <f t="shared" si="27"/>
        <v>0</v>
      </c>
      <c r="Q70" s="32">
        <f t="shared" si="28"/>
        <v>0</v>
      </c>
      <c r="R70" s="32">
        <f t="shared" si="29"/>
        <v>0</v>
      </c>
      <c r="S70" s="32">
        <f t="shared" si="30"/>
        <v>0</v>
      </c>
      <c r="T70" s="32">
        <f t="shared" si="31"/>
        <v>0</v>
      </c>
      <c r="U70" s="32">
        <f t="shared" si="32"/>
        <v>0</v>
      </c>
      <c r="V70" s="32">
        <f t="shared" si="33"/>
        <v>0</v>
      </c>
      <c r="W70" s="32">
        <f t="shared" si="34"/>
        <v>0</v>
      </c>
      <c r="X70" s="32">
        <f t="shared" si="35"/>
        <v>0</v>
      </c>
      <c r="Y70" s="32">
        <f t="shared" si="36"/>
        <v>0</v>
      </c>
      <c r="Z70" s="32">
        <f t="shared" si="37"/>
        <v>0</v>
      </c>
      <c r="AA70" s="32">
        <f t="shared" si="38"/>
        <v>0</v>
      </c>
      <c r="AB70" s="31">
        <f t="shared" si="39"/>
        <v>0</v>
      </c>
      <c r="AC70" s="31">
        <f t="shared" si="40"/>
        <v>0</v>
      </c>
      <c r="AD70" s="32">
        <f t="shared" si="41"/>
        <v>0</v>
      </c>
      <c r="AE70" s="34">
        <f t="shared" si="42"/>
        <v>0</v>
      </c>
    </row>
    <row r="71" spans="1:31" ht="20.100000000000001" hidden="1" customHeight="1" x14ac:dyDescent="0.2">
      <c r="A71" s="39">
        <f t="shared" si="43"/>
        <v>17</v>
      </c>
      <c r="B71" s="31">
        <f t="shared" si="13"/>
        <v>0</v>
      </c>
      <c r="C71" s="31">
        <f t="shared" si="14"/>
        <v>0</v>
      </c>
      <c r="D71" s="31">
        <f t="shared" si="15"/>
        <v>0</v>
      </c>
      <c r="E71" s="31">
        <f t="shared" si="16"/>
        <v>0</v>
      </c>
      <c r="F71" s="31">
        <f t="shared" si="17"/>
        <v>0</v>
      </c>
      <c r="G71" s="31">
        <f t="shared" si="18"/>
        <v>0</v>
      </c>
      <c r="H71" s="32">
        <f t="shared" si="19"/>
        <v>0</v>
      </c>
      <c r="I71" s="32">
        <f t="shared" si="20"/>
        <v>0</v>
      </c>
      <c r="J71" s="32">
        <f t="shared" si="21"/>
        <v>0</v>
      </c>
      <c r="K71" s="32">
        <f t="shared" si="22"/>
        <v>0</v>
      </c>
      <c r="L71" s="32">
        <f t="shared" si="23"/>
        <v>0</v>
      </c>
      <c r="M71" s="32">
        <f t="shared" si="24"/>
        <v>0</v>
      </c>
      <c r="N71" s="32">
        <f t="shared" si="25"/>
        <v>0</v>
      </c>
      <c r="O71" s="32">
        <f t="shared" si="26"/>
        <v>0</v>
      </c>
      <c r="P71" s="32">
        <f t="shared" si="27"/>
        <v>0</v>
      </c>
      <c r="Q71" s="32">
        <f t="shared" si="28"/>
        <v>0</v>
      </c>
      <c r="R71" s="32">
        <f t="shared" si="29"/>
        <v>0</v>
      </c>
      <c r="S71" s="32">
        <f t="shared" si="30"/>
        <v>0</v>
      </c>
      <c r="T71" s="32">
        <f t="shared" si="31"/>
        <v>0</v>
      </c>
      <c r="U71" s="32">
        <f t="shared" si="32"/>
        <v>0</v>
      </c>
      <c r="V71" s="32">
        <f t="shared" si="33"/>
        <v>0</v>
      </c>
      <c r="W71" s="32">
        <f t="shared" si="34"/>
        <v>0</v>
      </c>
      <c r="X71" s="32">
        <f t="shared" si="35"/>
        <v>0</v>
      </c>
      <c r="Y71" s="32">
        <f t="shared" si="36"/>
        <v>0</v>
      </c>
      <c r="Z71" s="32">
        <f t="shared" si="37"/>
        <v>0</v>
      </c>
      <c r="AA71" s="32">
        <f t="shared" si="38"/>
        <v>0</v>
      </c>
      <c r="AB71" s="31">
        <f t="shared" si="39"/>
        <v>0</v>
      </c>
      <c r="AC71" s="31">
        <f t="shared" si="40"/>
        <v>0</v>
      </c>
      <c r="AD71" s="32">
        <f t="shared" si="41"/>
        <v>0</v>
      </c>
      <c r="AE71" s="34">
        <f t="shared" si="42"/>
        <v>0</v>
      </c>
    </row>
    <row r="72" spans="1:31" ht="20.100000000000001" hidden="1" customHeight="1" x14ac:dyDescent="0.2">
      <c r="A72" s="39">
        <f t="shared" si="43"/>
        <v>18</v>
      </c>
      <c r="B72" s="31">
        <f t="shared" si="13"/>
        <v>0</v>
      </c>
      <c r="C72" s="31">
        <f t="shared" si="14"/>
        <v>0</v>
      </c>
      <c r="D72" s="31">
        <f t="shared" si="15"/>
        <v>0</v>
      </c>
      <c r="E72" s="31">
        <f t="shared" si="16"/>
        <v>0</v>
      </c>
      <c r="F72" s="31">
        <f t="shared" si="17"/>
        <v>0</v>
      </c>
      <c r="G72" s="31">
        <f t="shared" si="18"/>
        <v>0</v>
      </c>
      <c r="H72" s="32">
        <f t="shared" si="19"/>
        <v>0</v>
      </c>
      <c r="I72" s="32">
        <f t="shared" si="20"/>
        <v>0</v>
      </c>
      <c r="J72" s="32">
        <f t="shared" si="21"/>
        <v>0</v>
      </c>
      <c r="K72" s="32">
        <f t="shared" si="22"/>
        <v>0</v>
      </c>
      <c r="L72" s="32">
        <f t="shared" si="23"/>
        <v>0</v>
      </c>
      <c r="M72" s="32">
        <f t="shared" si="24"/>
        <v>0</v>
      </c>
      <c r="N72" s="32">
        <f t="shared" si="25"/>
        <v>0</v>
      </c>
      <c r="O72" s="32">
        <f t="shared" si="26"/>
        <v>0</v>
      </c>
      <c r="P72" s="32">
        <f t="shared" si="27"/>
        <v>0</v>
      </c>
      <c r="Q72" s="32">
        <f t="shared" si="28"/>
        <v>0</v>
      </c>
      <c r="R72" s="32">
        <f t="shared" si="29"/>
        <v>0</v>
      </c>
      <c r="S72" s="32">
        <f t="shared" si="30"/>
        <v>0</v>
      </c>
      <c r="T72" s="32">
        <f t="shared" si="31"/>
        <v>0</v>
      </c>
      <c r="U72" s="32">
        <f t="shared" si="32"/>
        <v>0</v>
      </c>
      <c r="V72" s="32">
        <f t="shared" si="33"/>
        <v>0</v>
      </c>
      <c r="W72" s="32">
        <f t="shared" si="34"/>
        <v>0</v>
      </c>
      <c r="X72" s="32">
        <f t="shared" si="35"/>
        <v>0</v>
      </c>
      <c r="Y72" s="32">
        <f t="shared" si="36"/>
        <v>0</v>
      </c>
      <c r="Z72" s="32">
        <f t="shared" si="37"/>
        <v>0</v>
      </c>
      <c r="AA72" s="32">
        <f t="shared" si="38"/>
        <v>0</v>
      </c>
      <c r="AB72" s="31">
        <f t="shared" si="39"/>
        <v>0</v>
      </c>
      <c r="AC72" s="31">
        <f t="shared" si="40"/>
        <v>0</v>
      </c>
      <c r="AD72" s="32">
        <f t="shared" si="41"/>
        <v>0</v>
      </c>
      <c r="AE72" s="34">
        <f t="shared" si="42"/>
        <v>0</v>
      </c>
    </row>
    <row r="73" spans="1:31" ht="20.100000000000001" hidden="1" customHeight="1" x14ac:dyDescent="0.2">
      <c r="A73" s="39">
        <f t="shared" si="43"/>
        <v>19</v>
      </c>
      <c r="B73" s="31">
        <f t="shared" si="13"/>
        <v>0</v>
      </c>
      <c r="C73" s="31">
        <f t="shared" si="14"/>
        <v>0</v>
      </c>
      <c r="D73" s="31">
        <f t="shared" si="15"/>
        <v>0</v>
      </c>
      <c r="E73" s="31">
        <f t="shared" si="16"/>
        <v>0</v>
      </c>
      <c r="F73" s="31">
        <f t="shared" si="17"/>
        <v>0</v>
      </c>
      <c r="G73" s="31">
        <f t="shared" si="18"/>
        <v>0</v>
      </c>
      <c r="H73" s="32">
        <f t="shared" si="19"/>
        <v>0</v>
      </c>
      <c r="I73" s="32">
        <f t="shared" si="20"/>
        <v>0</v>
      </c>
      <c r="J73" s="32">
        <f t="shared" si="21"/>
        <v>0</v>
      </c>
      <c r="K73" s="32">
        <f t="shared" si="22"/>
        <v>0</v>
      </c>
      <c r="L73" s="32">
        <f t="shared" si="23"/>
        <v>0</v>
      </c>
      <c r="M73" s="32">
        <f t="shared" si="24"/>
        <v>0</v>
      </c>
      <c r="N73" s="32">
        <f t="shared" si="25"/>
        <v>0</v>
      </c>
      <c r="O73" s="32">
        <f t="shared" si="26"/>
        <v>0</v>
      </c>
      <c r="P73" s="32">
        <f t="shared" si="27"/>
        <v>0</v>
      </c>
      <c r="Q73" s="32">
        <f t="shared" si="28"/>
        <v>0</v>
      </c>
      <c r="R73" s="32">
        <f t="shared" si="29"/>
        <v>0</v>
      </c>
      <c r="S73" s="32">
        <f t="shared" si="30"/>
        <v>0</v>
      </c>
      <c r="T73" s="32">
        <f t="shared" si="31"/>
        <v>0</v>
      </c>
      <c r="U73" s="32">
        <f t="shared" si="32"/>
        <v>0</v>
      </c>
      <c r="V73" s="32">
        <f t="shared" si="33"/>
        <v>0</v>
      </c>
      <c r="W73" s="32">
        <f t="shared" si="34"/>
        <v>0</v>
      </c>
      <c r="X73" s="32">
        <f t="shared" si="35"/>
        <v>0</v>
      </c>
      <c r="Y73" s="32">
        <f t="shared" si="36"/>
        <v>0</v>
      </c>
      <c r="Z73" s="32">
        <f t="shared" si="37"/>
        <v>0</v>
      </c>
      <c r="AA73" s="32">
        <f t="shared" si="38"/>
        <v>0</v>
      </c>
      <c r="AB73" s="31">
        <f t="shared" si="39"/>
        <v>0</v>
      </c>
      <c r="AC73" s="31">
        <f t="shared" si="40"/>
        <v>0</v>
      </c>
      <c r="AD73" s="32">
        <f t="shared" si="41"/>
        <v>0</v>
      </c>
      <c r="AE73" s="34">
        <f t="shared" si="42"/>
        <v>0</v>
      </c>
    </row>
    <row r="74" spans="1:31" ht="20.100000000000001" hidden="1" customHeight="1" thickBot="1" x14ac:dyDescent="0.25">
      <c r="A74" s="49">
        <f t="shared" si="43"/>
        <v>20</v>
      </c>
      <c r="B74" s="62">
        <f t="shared" si="13"/>
        <v>0</v>
      </c>
      <c r="C74" s="62">
        <f t="shared" si="14"/>
        <v>0</v>
      </c>
      <c r="D74" s="62">
        <f t="shared" si="15"/>
        <v>0</v>
      </c>
      <c r="E74" s="62">
        <f t="shared" si="16"/>
        <v>0</v>
      </c>
      <c r="F74" s="62">
        <f t="shared" si="17"/>
        <v>0</v>
      </c>
      <c r="G74" s="62">
        <f t="shared" si="18"/>
        <v>0</v>
      </c>
      <c r="H74" s="64">
        <f t="shared" si="19"/>
        <v>0</v>
      </c>
      <c r="I74" s="64">
        <f t="shared" si="20"/>
        <v>0</v>
      </c>
      <c r="J74" s="64">
        <f t="shared" si="21"/>
        <v>0</v>
      </c>
      <c r="K74" s="64">
        <f t="shared" si="22"/>
        <v>0</v>
      </c>
      <c r="L74" s="64">
        <f t="shared" si="23"/>
        <v>0</v>
      </c>
      <c r="M74" s="64">
        <f t="shared" si="24"/>
        <v>0</v>
      </c>
      <c r="N74" s="64">
        <f t="shared" si="25"/>
        <v>0</v>
      </c>
      <c r="O74" s="64">
        <f t="shared" si="26"/>
        <v>0</v>
      </c>
      <c r="P74" s="64">
        <f t="shared" si="27"/>
        <v>0</v>
      </c>
      <c r="Q74" s="64">
        <f t="shared" si="28"/>
        <v>0</v>
      </c>
      <c r="R74" s="64">
        <f t="shared" si="29"/>
        <v>0</v>
      </c>
      <c r="S74" s="64">
        <f t="shared" si="30"/>
        <v>0</v>
      </c>
      <c r="T74" s="64">
        <f t="shared" si="31"/>
        <v>0</v>
      </c>
      <c r="U74" s="64">
        <f t="shared" si="32"/>
        <v>0</v>
      </c>
      <c r="V74" s="64">
        <f t="shared" si="33"/>
        <v>0</v>
      </c>
      <c r="W74" s="64">
        <f t="shared" si="34"/>
        <v>0</v>
      </c>
      <c r="X74" s="64">
        <f t="shared" si="35"/>
        <v>0</v>
      </c>
      <c r="Y74" s="64">
        <f t="shared" si="36"/>
        <v>0</v>
      </c>
      <c r="Z74" s="64">
        <f t="shared" si="37"/>
        <v>0</v>
      </c>
      <c r="AA74" s="64">
        <f t="shared" si="38"/>
        <v>0</v>
      </c>
      <c r="AB74" s="62">
        <f t="shared" si="39"/>
        <v>0</v>
      </c>
      <c r="AC74" s="62">
        <f t="shared" si="40"/>
        <v>0</v>
      </c>
      <c r="AD74" s="64">
        <f t="shared" si="41"/>
        <v>0</v>
      </c>
      <c r="AE74" s="75">
        <f t="shared" si="42"/>
        <v>0</v>
      </c>
    </row>
    <row r="75" spans="1:31" ht="20.100000000000001" hidden="1" customHeight="1" thickTop="1" thickBot="1" x14ac:dyDescent="0.25">
      <c r="A75" s="51" t="s">
        <v>0</v>
      </c>
      <c r="B75" s="63">
        <f>SUM(B55:B74)</f>
        <v>84.710743801652896</v>
      </c>
      <c r="C75" s="63">
        <f>SUM(C55:C74)</f>
        <v>0</v>
      </c>
      <c r="D75" s="63">
        <f>SUM(D55:D74)</f>
        <v>0</v>
      </c>
      <c r="E75" s="63">
        <f t="shared" ref="E75:AE75" si="44">SUM(E55:E74)</f>
        <v>86.776859504132233</v>
      </c>
      <c r="F75" s="63">
        <f t="shared" si="44"/>
        <v>0</v>
      </c>
      <c r="G75" s="63">
        <f t="shared" si="44"/>
        <v>0</v>
      </c>
      <c r="H75" s="63">
        <f t="shared" si="44"/>
        <v>55.785123966942152</v>
      </c>
      <c r="I75" s="63">
        <f t="shared" si="44"/>
        <v>0</v>
      </c>
      <c r="J75" s="63">
        <f t="shared" si="44"/>
        <v>0</v>
      </c>
      <c r="K75" s="63">
        <f t="shared" si="44"/>
        <v>0</v>
      </c>
      <c r="L75" s="63">
        <f t="shared" si="44"/>
        <v>43.072599531615921</v>
      </c>
      <c r="M75" s="63">
        <f t="shared" si="44"/>
        <v>0</v>
      </c>
      <c r="N75" s="63">
        <f t="shared" si="44"/>
        <v>0</v>
      </c>
      <c r="O75" s="63">
        <f t="shared" si="44"/>
        <v>0</v>
      </c>
      <c r="P75" s="63">
        <f t="shared" si="44"/>
        <v>0</v>
      </c>
      <c r="Q75" s="63">
        <f t="shared" si="44"/>
        <v>0</v>
      </c>
      <c r="R75" s="63">
        <f t="shared" si="44"/>
        <v>0</v>
      </c>
      <c r="S75" s="63">
        <f t="shared" si="44"/>
        <v>0</v>
      </c>
      <c r="T75" s="63">
        <f t="shared" si="44"/>
        <v>0</v>
      </c>
      <c r="U75" s="63">
        <f t="shared" si="44"/>
        <v>0</v>
      </c>
      <c r="V75" s="63">
        <f t="shared" si="44"/>
        <v>0</v>
      </c>
      <c r="W75" s="63">
        <f t="shared" si="44"/>
        <v>0</v>
      </c>
      <c r="X75" s="63">
        <f t="shared" si="44"/>
        <v>0</v>
      </c>
      <c r="Y75" s="63">
        <f t="shared" si="44"/>
        <v>0</v>
      </c>
      <c r="Z75" s="63">
        <f t="shared" si="44"/>
        <v>24.793388429752067</v>
      </c>
      <c r="AA75" s="63">
        <f t="shared" si="44"/>
        <v>17.620608899297423</v>
      </c>
      <c r="AB75" s="63">
        <f t="shared" si="44"/>
        <v>0</v>
      </c>
      <c r="AC75" s="63">
        <f t="shared" si="44"/>
        <v>7.5</v>
      </c>
      <c r="AD75" s="63">
        <f t="shared" si="44"/>
        <v>1.7999999999999998</v>
      </c>
      <c r="AE75" s="71">
        <f t="shared" si="44"/>
        <v>0.2</v>
      </c>
    </row>
    <row r="76" spans="1:31" ht="20.100000000000001" hidden="1" customHeight="1" thickTop="1" x14ac:dyDescent="0.2"/>
    <row r="77" spans="1:31" ht="20.100000000000001" customHeight="1" thickTop="1" thickBot="1" x14ac:dyDescent="0.35">
      <c r="A77" s="12" t="s">
        <v>142</v>
      </c>
      <c r="B77" s="20"/>
      <c r="C77" s="20"/>
      <c r="D77" s="129" t="s">
        <v>152</v>
      </c>
      <c r="E77" s="133">
        <v>159000</v>
      </c>
      <c r="F77" s="133">
        <v>1800</v>
      </c>
      <c r="G77" s="134">
        <v>300</v>
      </c>
    </row>
    <row r="78" spans="1:31" ht="20.100000000000001" customHeight="1" thickTop="1" thickBot="1" x14ac:dyDescent="0.25">
      <c r="A78" s="51" t="s">
        <v>44</v>
      </c>
      <c r="B78" s="100" t="s">
        <v>48</v>
      </c>
      <c r="C78" s="100" t="s">
        <v>50</v>
      </c>
      <c r="D78" s="132" t="s">
        <v>49</v>
      </c>
      <c r="E78" s="132" t="s">
        <v>139</v>
      </c>
      <c r="F78" s="128" t="s">
        <v>140</v>
      </c>
      <c r="G78" s="128" t="s">
        <v>141</v>
      </c>
      <c r="H78" s="99" t="s">
        <v>131</v>
      </c>
      <c r="I78" s="99" t="s">
        <v>53</v>
      </c>
      <c r="J78" s="99" t="s">
        <v>132</v>
      </c>
      <c r="K78" s="101" t="s">
        <v>138</v>
      </c>
      <c r="L78" s="65"/>
      <c r="M78" s="65"/>
    </row>
    <row r="79" spans="1:31" ht="20.100000000000001" customHeight="1" thickTop="1" x14ac:dyDescent="0.2">
      <c r="A79" s="102">
        <f>A5</f>
        <v>1</v>
      </c>
      <c r="B79" s="105">
        <f t="shared" ref="B79:B98" si="45">IF($D5="","",M5)</f>
        <v>9.0625</v>
      </c>
      <c r="C79" s="105">
        <f t="shared" ref="C79:C98" si="46">IF($D5="","",N5)</f>
        <v>217.5</v>
      </c>
      <c r="D79" s="105">
        <f t="shared" ref="D79:D98" si="47">IF($D5="","",O5)</f>
        <v>11.291954022988506</v>
      </c>
      <c r="E79" s="106">
        <f>IF($D5="","",(B55+E55+H55+K55+N55+Q55+T55+W55+Z55)*B79)</f>
        <v>898.76033057851248</v>
      </c>
      <c r="F79" s="106">
        <f>IF($D5="","",(C55+F55+I55+L55+O55+R55+U55+X55+AA55+AC55+AD55+AE55)*B79)</f>
        <v>6.34375</v>
      </c>
      <c r="G79" s="106">
        <f>IF($D5="","",(D55+G55+J55+M55+P55+S55+V55+Y55+AB55)*B79)</f>
        <v>0</v>
      </c>
      <c r="H79" s="106">
        <f>IF($D5="","",IF(R5=1,'Consumption Inputs'!$D$6*B79,IF(R5=2,'Consumption Inputs'!$E$6*B79,0)))</f>
        <v>631.87606637499994</v>
      </c>
      <c r="I79" s="106">
        <f>IF($D5="","",IF(AND(BB5=1,R5=1),'Consumption Inputs'!$D$7*B79,IF(AND(BB5=1,R5=2),'Consumption Inputs'!$E$7*B79,0)))</f>
        <v>0</v>
      </c>
      <c r="J79" s="106">
        <f>IF($D5="","",H79+I79)</f>
        <v>631.87606637499994</v>
      </c>
      <c r="K79" s="107">
        <f>IF($D5="","",IF(J79-E79&lt;0,0,J79-E79))</f>
        <v>0</v>
      </c>
      <c r="L79" s="67"/>
      <c r="M79" s="67"/>
    </row>
    <row r="80" spans="1:31" ht="20.100000000000001" customHeight="1" x14ac:dyDescent="0.2">
      <c r="A80" s="102">
        <f t="shared" ref="A80:A98" si="48">A6</f>
        <v>2</v>
      </c>
      <c r="B80" s="108">
        <f t="shared" si="45"/>
        <v>0.10416666666424135</v>
      </c>
      <c r="C80" s="108">
        <f t="shared" si="46"/>
        <v>2.4999999999417923</v>
      </c>
      <c r="D80" s="108">
        <f t="shared" si="47"/>
        <v>12.000000000279396</v>
      </c>
      <c r="E80" s="109">
        <f t="shared" ref="E80:E98" si="49">IF($D6="","",(B56+E56+H56+K56+N56+Q56+T56+W56+Z56)*B80)</f>
        <v>0</v>
      </c>
      <c r="F80" s="109">
        <f t="shared" ref="F80:F98" si="50">IF($D6="","",(C56+F56+I56+L56+O56+R56+U56+X56+AA56+AC56+AD56+AE56)*B80)</f>
        <v>0.61182669787802646</v>
      </c>
      <c r="G80" s="109">
        <f t="shared" ref="G80:G98" si="51">IF($D6="","",(D56+G56+J56+M56+P56+S56+V56+Y56+AB56)*B80)</f>
        <v>0</v>
      </c>
      <c r="H80" s="109">
        <f>IF($D6="","",IF(R6=1,'Consumption Inputs'!$D$6*B80,IF(R6=2,'Consumption Inputs'!$E$6*B80,0)))</f>
        <v>7.262943291497562</v>
      </c>
      <c r="I80" s="109">
        <f>IF($D6="","",IF(AND(BB6=1,R6=1),'Consumption Inputs'!$D$7*B80,IF(AND(BB6=1,R6=2),'Consumption Inputs'!$E$7*B80,0)))</f>
        <v>0</v>
      </c>
      <c r="J80" s="109">
        <f t="shared" ref="J80:J98" si="52">IF($D6="","",H80+I80)</f>
        <v>7.262943291497562</v>
      </c>
      <c r="K80" s="110">
        <f t="shared" ref="K80:K98" si="53">IF($D6="","",IF(J80-E80&lt;0,0,J80-E80))</f>
        <v>7.262943291497562</v>
      </c>
      <c r="L80" s="67"/>
      <c r="M80" s="67"/>
    </row>
    <row r="81" spans="1:13" ht="20.100000000000001" customHeight="1" x14ac:dyDescent="0.2">
      <c r="A81" s="102">
        <f t="shared" si="48"/>
        <v>3</v>
      </c>
      <c r="B81" s="108">
        <f t="shared" si="45"/>
        <v>1</v>
      </c>
      <c r="C81" s="108">
        <f t="shared" si="46"/>
        <v>24</v>
      </c>
      <c r="D81" s="108">
        <f t="shared" si="47"/>
        <v>1</v>
      </c>
      <c r="E81" s="109">
        <f t="shared" si="49"/>
        <v>55.785123966942152</v>
      </c>
      <c r="F81" s="109">
        <f t="shared" si="50"/>
        <v>3.1</v>
      </c>
      <c r="G81" s="109">
        <f t="shared" si="51"/>
        <v>0</v>
      </c>
      <c r="H81" s="109">
        <f>IF($D7="","",IF(R7=1,'Consumption Inputs'!$D$6*B81,IF(R7=2,'Consumption Inputs'!$E$6*B81,0)))</f>
        <v>148.16404315000003</v>
      </c>
      <c r="I81" s="109">
        <f>IF($D7="","",IF(AND(BB7=1,R7=1),'Consumption Inputs'!$D$7*B81,IF(AND(BB7=1,R7=2),'Consumption Inputs'!$E$7*B81,0)))</f>
        <v>0</v>
      </c>
      <c r="J81" s="109">
        <f t="shared" si="52"/>
        <v>148.16404315000003</v>
      </c>
      <c r="K81" s="110">
        <f t="shared" si="53"/>
        <v>92.378919183057874</v>
      </c>
      <c r="L81" s="67"/>
      <c r="M81" s="67"/>
    </row>
    <row r="82" spans="1:13" ht="20.100000000000001" customHeight="1" x14ac:dyDescent="0.2">
      <c r="A82" s="102">
        <f t="shared" si="48"/>
        <v>4</v>
      </c>
      <c r="B82" s="108">
        <f t="shared" si="45"/>
        <v>8.3333333335758653E-2</v>
      </c>
      <c r="C82" s="108">
        <f t="shared" si="46"/>
        <v>2.0000000000582077</v>
      </c>
      <c r="D82" s="108">
        <f t="shared" si="47"/>
        <v>14.999999999563443</v>
      </c>
      <c r="E82" s="109">
        <f t="shared" si="49"/>
        <v>0</v>
      </c>
      <c r="F82" s="109">
        <f t="shared" si="50"/>
        <v>0.48946135832806253</v>
      </c>
      <c r="G82" s="109">
        <f t="shared" si="51"/>
        <v>0</v>
      </c>
      <c r="H82" s="109">
        <f>IF($D8="","",IF(R8=1,'Consumption Inputs'!$D$6*B82,IF(R8=2,'Consumption Inputs'!$E$6*B82,0)))</f>
        <v>12.34700359619268</v>
      </c>
      <c r="I82" s="109">
        <f>IF($D8="","",IF(AND(BB8=1,R8=1),'Consumption Inputs'!$D$7*B82,IF(AND(BB8=1,R8=2),'Consumption Inputs'!$E$7*B82,0)))</f>
        <v>0</v>
      </c>
      <c r="J82" s="109">
        <f t="shared" si="52"/>
        <v>12.34700359619268</v>
      </c>
      <c r="K82" s="110">
        <f t="shared" si="53"/>
        <v>12.34700359619268</v>
      </c>
      <c r="L82" s="67"/>
      <c r="M82" s="67"/>
    </row>
    <row r="83" spans="1:13" ht="20.100000000000001" customHeight="1" x14ac:dyDescent="0.2">
      <c r="A83" s="102">
        <f t="shared" si="48"/>
        <v>5</v>
      </c>
      <c r="B83" s="108">
        <f t="shared" si="45"/>
        <v>22.250694444446708</v>
      </c>
      <c r="C83" s="108">
        <f t="shared" si="46"/>
        <v>534.01666666672099</v>
      </c>
      <c r="D83" s="108">
        <f t="shared" si="47"/>
        <v>7.0409787459809943</v>
      </c>
      <c r="E83" s="109">
        <f t="shared" si="49"/>
        <v>2160.7079315888332</v>
      </c>
      <c r="F83" s="109">
        <f t="shared" si="50"/>
        <v>15.575486111112694</v>
      </c>
      <c r="G83" s="109">
        <f t="shared" si="51"/>
        <v>0</v>
      </c>
      <c r="H83" s="109">
        <f>IF($D9="","",IF(R9=1,'Consumption Inputs'!$D$6*B83,IF(R9=2,'Consumption Inputs'!$E$6*B83,0)))</f>
        <v>3296.752851784468</v>
      </c>
      <c r="I83" s="109">
        <f>IF($D9="","",IF(AND(BB9=1,R9=1),'Consumption Inputs'!$D$7*B83,IF(AND(BB9=1,R9=2),'Consumption Inputs'!$E$7*B83,0)))</f>
        <v>667.52083333340124</v>
      </c>
      <c r="J83" s="109">
        <f t="shared" si="52"/>
        <v>3964.2736851178693</v>
      </c>
      <c r="K83" s="110">
        <f t="shared" si="53"/>
        <v>1803.5657535290361</v>
      </c>
      <c r="L83" s="67"/>
      <c r="M83" s="67"/>
    </row>
    <row r="84" spans="1:13" ht="20.100000000000001" customHeight="1" x14ac:dyDescent="0.2">
      <c r="A84" s="102">
        <f t="shared" si="48"/>
        <v>6</v>
      </c>
      <c r="B84" s="108">
        <f t="shared" si="45"/>
        <v>0.24930555555329192</v>
      </c>
      <c r="C84" s="108">
        <f t="shared" si="46"/>
        <v>5.9833333332790062</v>
      </c>
      <c r="D84" s="108">
        <f t="shared" si="47"/>
        <v>6.6852367688629286</v>
      </c>
      <c r="E84" s="109">
        <f t="shared" si="49"/>
        <v>0</v>
      </c>
      <c r="F84" s="109">
        <f t="shared" si="50"/>
        <v>2.0875691191587711</v>
      </c>
      <c r="G84" s="109">
        <f t="shared" si="51"/>
        <v>0</v>
      </c>
      <c r="H84" s="109">
        <f>IF($D10="","",IF(R10=1,'Consumption Inputs'!$D$6*B84,IF(R10=2,'Consumption Inputs'!$E$6*B84,0)))</f>
        <v>36.938119090532673</v>
      </c>
      <c r="I84" s="109">
        <f>IF($D10="","",IF(AND(BB10=1,R10=1),'Consumption Inputs'!$D$7*B84,IF(AND(BB10=1,R10=2),'Consumption Inputs'!$E$7*B84,0)))</f>
        <v>0</v>
      </c>
      <c r="J84" s="109">
        <f t="shared" si="52"/>
        <v>36.938119090532673</v>
      </c>
      <c r="K84" s="110">
        <f t="shared" si="53"/>
        <v>36.938119090532673</v>
      </c>
      <c r="L84" s="67"/>
      <c r="M84" s="67"/>
    </row>
    <row r="85" spans="1:13" ht="20.100000000000001" customHeight="1" x14ac:dyDescent="0.2">
      <c r="A85" s="102">
        <f t="shared" si="48"/>
        <v>7</v>
      </c>
      <c r="B85" s="108">
        <f t="shared" si="45"/>
        <v>1.25</v>
      </c>
      <c r="C85" s="108">
        <f t="shared" si="46"/>
        <v>30</v>
      </c>
      <c r="D85" s="108">
        <f t="shared" si="47"/>
        <v>1</v>
      </c>
      <c r="E85" s="109">
        <f t="shared" si="49"/>
        <v>0</v>
      </c>
      <c r="F85" s="109">
        <f t="shared" si="50"/>
        <v>56.965749414519905</v>
      </c>
      <c r="G85" s="109">
        <f t="shared" si="51"/>
        <v>0</v>
      </c>
      <c r="H85" s="109">
        <f>IF($D11="","",IF(R11=1,'Consumption Inputs'!$D$6*B85,IF(R11=2,'Consumption Inputs'!$E$6*B85,0)))</f>
        <v>185.20505393750003</v>
      </c>
      <c r="I85" s="109">
        <f>IF($D11="","",IF(AND(BB11=1,R11=1),'Consumption Inputs'!$D$7*B85,IF(AND(BB11=1,R11=2),'Consumption Inputs'!$E$7*B85,0)))</f>
        <v>0</v>
      </c>
      <c r="J85" s="109">
        <f t="shared" si="52"/>
        <v>185.20505393750003</v>
      </c>
      <c r="K85" s="110">
        <f t="shared" si="53"/>
        <v>185.20505393750003</v>
      </c>
      <c r="L85" s="67"/>
      <c r="M85" s="67"/>
    </row>
    <row r="86" spans="1:13" ht="20.100000000000001" customHeight="1" x14ac:dyDescent="0.2">
      <c r="A86" s="102">
        <f t="shared" si="48"/>
        <v>8</v>
      </c>
      <c r="B86" s="108" t="str">
        <f t="shared" si="45"/>
        <v/>
      </c>
      <c r="C86" s="108" t="str">
        <f t="shared" si="46"/>
        <v/>
      </c>
      <c r="D86" s="108" t="str">
        <f t="shared" si="47"/>
        <v/>
      </c>
      <c r="E86" s="109" t="str">
        <f t="shared" si="49"/>
        <v/>
      </c>
      <c r="F86" s="109" t="str">
        <f t="shared" si="50"/>
        <v/>
      </c>
      <c r="G86" s="109" t="str">
        <f t="shared" si="51"/>
        <v/>
      </c>
      <c r="H86" s="109" t="str">
        <f>IF($D12="","",IF(R12=1,'Consumption Inputs'!$D$6*B86,IF(R12=2,'Consumption Inputs'!$E$6*B86,0)))</f>
        <v/>
      </c>
      <c r="I86" s="109" t="str">
        <f>IF($D12="","",IF(AND(BB12=1,R12=1),'Consumption Inputs'!$D$7*B86,IF(AND(BB12=1,R12=2),'Consumption Inputs'!$E$7*B86,0)))</f>
        <v/>
      </c>
      <c r="J86" s="109" t="str">
        <f t="shared" si="52"/>
        <v/>
      </c>
      <c r="K86" s="110" t="str">
        <f t="shared" si="53"/>
        <v/>
      </c>
      <c r="L86" s="67"/>
      <c r="M86" s="67"/>
    </row>
    <row r="87" spans="1:13" ht="20.100000000000001" customHeight="1" x14ac:dyDescent="0.2">
      <c r="A87" s="102">
        <f t="shared" si="48"/>
        <v>9</v>
      </c>
      <c r="B87" s="108" t="str">
        <f t="shared" si="45"/>
        <v/>
      </c>
      <c r="C87" s="108" t="str">
        <f t="shared" si="46"/>
        <v/>
      </c>
      <c r="D87" s="108" t="str">
        <f t="shared" si="47"/>
        <v/>
      </c>
      <c r="E87" s="109" t="str">
        <f t="shared" si="49"/>
        <v/>
      </c>
      <c r="F87" s="109" t="str">
        <f t="shared" si="50"/>
        <v/>
      </c>
      <c r="G87" s="109" t="str">
        <f t="shared" si="51"/>
        <v/>
      </c>
      <c r="H87" s="109" t="str">
        <f>IF($D13="","",IF(R13=1,'Consumption Inputs'!$D$6*B87,IF(R13=2,'Consumption Inputs'!$E$6*B87,0)))</f>
        <v/>
      </c>
      <c r="I87" s="109" t="str">
        <f>IF($D13="","",IF(AND(BB13=1,R13=1),'Consumption Inputs'!$D$7*B87,IF(AND(BB13=1,R13=2),'Consumption Inputs'!$E$7*B87,0)))</f>
        <v/>
      </c>
      <c r="J87" s="109" t="str">
        <f t="shared" si="52"/>
        <v/>
      </c>
      <c r="K87" s="110" t="str">
        <f t="shared" si="53"/>
        <v/>
      </c>
      <c r="L87" s="67"/>
      <c r="M87" s="67"/>
    </row>
    <row r="88" spans="1:13" ht="20.100000000000001" customHeight="1" x14ac:dyDescent="0.2">
      <c r="A88" s="102">
        <f t="shared" si="48"/>
        <v>10</v>
      </c>
      <c r="B88" s="108" t="str">
        <f t="shared" si="45"/>
        <v/>
      </c>
      <c r="C88" s="108" t="str">
        <f t="shared" si="46"/>
        <v/>
      </c>
      <c r="D88" s="108" t="str">
        <f t="shared" si="47"/>
        <v/>
      </c>
      <c r="E88" s="109" t="str">
        <f t="shared" si="49"/>
        <v/>
      </c>
      <c r="F88" s="109" t="str">
        <f t="shared" si="50"/>
        <v/>
      </c>
      <c r="G88" s="109" t="str">
        <f t="shared" si="51"/>
        <v/>
      </c>
      <c r="H88" s="109" t="str">
        <f>IF($D14="","",IF(R14=1,'Consumption Inputs'!$D$6*B88,IF(R14=2,'Consumption Inputs'!$E$6*B88,0)))</f>
        <v/>
      </c>
      <c r="I88" s="109" t="str">
        <f>IF($D14="","",IF(AND(BB14=1,R14=1),'Consumption Inputs'!$D$7*B88,IF(AND(BB14=1,R14=2),'Consumption Inputs'!$E$7*B88,0)))</f>
        <v/>
      </c>
      <c r="J88" s="109" t="str">
        <f t="shared" si="52"/>
        <v/>
      </c>
      <c r="K88" s="110" t="str">
        <f t="shared" si="53"/>
        <v/>
      </c>
      <c r="L88" s="67"/>
      <c r="M88" s="67"/>
    </row>
    <row r="89" spans="1:13" ht="20.100000000000001" customHeight="1" x14ac:dyDescent="0.2">
      <c r="A89" s="102">
        <f t="shared" si="48"/>
        <v>11</v>
      </c>
      <c r="B89" s="108" t="str">
        <f t="shared" si="45"/>
        <v/>
      </c>
      <c r="C89" s="108" t="str">
        <f t="shared" si="46"/>
        <v/>
      </c>
      <c r="D89" s="108" t="str">
        <f t="shared" si="47"/>
        <v/>
      </c>
      <c r="E89" s="109" t="str">
        <f t="shared" si="49"/>
        <v/>
      </c>
      <c r="F89" s="109" t="str">
        <f t="shared" si="50"/>
        <v/>
      </c>
      <c r="G89" s="109" t="str">
        <f t="shared" si="51"/>
        <v/>
      </c>
      <c r="H89" s="109" t="str">
        <f>IF($D15="","",IF(R15=1,'Consumption Inputs'!$D$6*B89,IF(R15=2,'Consumption Inputs'!$E$6*B89,0)))</f>
        <v/>
      </c>
      <c r="I89" s="109" t="str">
        <f>IF($D15="","",IF(AND(BB15=1,R15=1),'Consumption Inputs'!$D$7*B89,IF(AND(BB15=1,R15=2),'Consumption Inputs'!$E$7*B89,0)))</f>
        <v/>
      </c>
      <c r="J89" s="109" t="str">
        <f t="shared" si="52"/>
        <v/>
      </c>
      <c r="K89" s="110" t="str">
        <f t="shared" si="53"/>
        <v/>
      </c>
      <c r="L89" s="67"/>
      <c r="M89" s="67"/>
    </row>
    <row r="90" spans="1:13" ht="20.100000000000001" customHeight="1" x14ac:dyDescent="0.2">
      <c r="A90" s="102">
        <f t="shared" si="48"/>
        <v>12</v>
      </c>
      <c r="B90" s="108" t="str">
        <f t="shared" si="45"/>
        <v/>
      </c>
      <c r="C90" s="108" t="str">
        <f t="shared" si="46"/>
        <v/>
      </c>
      <c r="D90" s="108" t="str">
        <f t="shared" si="47"/>
        <v/>
      </c>
      <c r="E90" s="109" t="str">
        <f t="shared" si="49"/>
        <v/>
      </c>
      <c r="F90" s="109" t="str">
        <f t="shared" si="50"/>
        <v/>
      </c>
      <c r="G90" s="109" t="str">
        <f t="shared" si="51"/>
        <v/>
      </c>
      <c r="H90" s="109" t="str">
        <f>IF($D16="","",IF(R16=1,'Consumption Inputs'!$D$6*B90,IF(R16=2,'Consumption Inputs'!$E$6*B90,0)))</f>
        <v/>
      </c>
      <c r="I90" s="109" t="str">
        <f>IF($D16="","",IF(AND(BB16=1,R16=1),'Consumption Inputs'!$D$7*B90,IF(AND(BB16=1,R16=2),'Consumption Inputs'!$E$7*B90,0)))</f>
        <v/>
      </c>
      <c r="J90" s="109" t="str">
        <f t="shared" si="52"/>
        <v/>
      </c>
      <c r="K90" s="110" t="str">
        <f t="shared" si="53"/>
        <v/>
      </c>
      <c r="L90" s="67"/>
      <c r="M90" s="67"/>
    </row>
    <row r="91" spans="1:13" ht="20.100000000000001" customHeight="1" x14ac:dyDescent="0.2">
      <c r="A91" s="102">
        <f t="shared" si="48"/>
        <v>13</v>
      </c>
      <c r="B91" s="108" t="str">
        <f t="shared" si="45"/>
        <v/>
      </c>
      <c r="C91" s="108" t="str">
        <f t="shared" si="46"/>
        <v/>
      </c>
      <c r="D91" s="108" t="str">
        <f t="shared" si="47"/>
        <v/>
      </c>
      <c r="E91" s="109" t="str">
        <f t="shared" si="49"/>
        <v/>
      </c>
      <c r="F91" s="109" t="str">
        <f t="shared" si="50"/>
        <v/>
      </c>
      <c r="G91" s="109" t="str">
        <f t="shared" si="51"/>
        <v/>
      </c>
      <c r="H91" s="109" t="str">
        <f>IF($D17="","",IF(R17=1,'Consumption Inputs'!$D$6*B91,IF(R17=2,'Consumption Inputs'!$E$6*B91,0)))</f>
        <v/>
      </c>
      <c r="I91" s="109" t="str">
        <f>IF($D17="","",IF(AND(BB17=1,R17=1),'Consumption Inputs'!$D$7*B91,IF(AND(BB17=1,R17=2),'Consumption Inputs'!$E$7*B91,0)))</f>
        <v/>
      </c>
      <c r="J91" s="109" t="str">
        <f t="shared" si="52"/>
        <v/>
      </c>
      <c r="K91" s="110" t="str">
        <f t="shared" si="53"/>
        <v/>
      </c>
      <c r="L91" s="67"/>
      <c r="M91" s="67"/>
    </row>
    <row r="92" spans="1:13" ht="20.100000000000001" customHeight="1" x14ac:dyDescent="0.2">
      <c r="A92" s="102">
        <f t="shared" si="48"/>
        <v>14</v>
      </c>
      <c r="B92" s="108" t="str">
        <f t="shared" si="45"/>
        <v/>
      </c>
      <c r="C92" s="108" t="str">
        <f t="shared" si="46"/>
        <v/>
      </c>
      <c r="D92" s="108" t="str">
        <f t="shared" si="47"/>
        <v/>
      </c>
      <c r="E92" s="109" t="str">
        <f t="shared" si="49"/>
        <v/>
      </c>
      <c r="F92" s="109" t="str">
        <f t="shared" si="50"/>
        <v/>
      </c>
      <c r="G92" s="109" t="str">
        <f t="shared" si="51"/>
        <v/>
      </c>
      <c r="H92" s="109" t="str">
        <f>IF($D18="","",IF(R18=1,'Consumption Inputs'!$D$6*B92,IF(R18=2,'Consumption Inputs'!$E$6*B92,0)))</f>
        <v/>
      </c>
      <c r="I92" s="109" t="str">
        <f>IF($D18="","",IF(AND(BB18=1,R18=1),'Consumption Inputs'!$D$7*B92,IF(AND(BB18=1,R18=2),'Consumption Inputs'!$E$7*B92,0)))</f>
        <v/>
      </c>
      <c r="J92" s="109" t="str">
        <f t="shared" si="52"/>
        <v/>
      </c>
      <c r="K92" s="110" t="str">
        <f t="shared" si="53"/>
        <v/>
      </c>
      <c r="L92" s="67"/>
      <c r="M92" s="67"/>
    </row>
    <row r="93" spans="1:13" ht="20.100000000000001" customHeight="1" x14ac:dyDescent="0.2">
      <c r="A93" s="102">
        <f t="shared" si="48"/>
        <v>15</v>
      </c>
      <c r="B93" s="108" t="str">
        <f t="shared" si="45"/>
        <v/>
      </c>
      <c r="C93" s="108" t="str">
        <f t="shared" si="46"/>
        <v/>
      </c>
      <c r="D93" s="108" t="str">
        <f t="shared" si="47"/>
        <v/>
      </c>
      <c r="E93" s="109" t="str">
        <f t="shared" si="49"/>
        <v/>
      </c>
      <c r="F93" s="109" t="str">
        <f t="shared" si="50"/>
        <v/>
      </c>
      <c r="G93" s="109" t="str">
        <f t="shared" si="51"/>
        <v/>
      </c>
      <c r="H93" s="109" t="str">
        <f>IF($D19="","",IF(R19=1,'Consumption Inputs'!$D$6*B93,IF(R19=2,'Consumption Inputs'!$E$6*B93,0)))</f>
        <v/>
      </c>
      <c r="I93" s="109" t="str">
        <f>IF($D19="","",IF(AND(BB19=1,R19=1),'Consumption Inputs'!$D$7*B93,IF(AND(BB19=1,R19=2),'Consumption Inputs'!$E$7*B93,0)))</f>
        <v/>
      </c>
      <c r="J93" s="109" t="str">
        <f t="shared" si="52"/>
        <v/>
      </c>
      <c r="K93" s="110" t="str">
        <f t="shared" si="53"/>
        <v/>
      </c>
      <c r="L93" s="67"/>
      <c r="M93" s="67"/>
    </row>
    <row r="94" spans="1:13" ht="20.100000000000001" customHeight="1" x14ac:dyDescent="0.2">
      <c r="A94" s="102">
        <f t="shared" si="48"/>
        <v>16</v>
      </c>
      <c r="B94" s="108" t="str">
        <f t="shared" si="45"/>
        <v/>
      </c>
      <c r="C94" s="108" t="str">
        <f t="shared" si="46"/>
        <v/>
      </c>
      <c r="D94" s="108" t="str">
        <f t="shared" si="47"/>
        <v/>
      </c>
      <c r="E94" s="109" t="str">
        <f t="shared" si="49"/>
        <v/>
      </c>
      <c r="F94" s="109" t="str">
        <f t="shared" si="50"/>
        <v/>
      </c>
      <c r="G94" s="109" t="str">
        <f t="shared" si="51"/>
        <v/>
      </c>
      <c r="H94" s="109" t="str">
        <f>IF($D20="","",IF(R20=1,'Consumption Inputs'!$D$6*B94,IF(R20=2,'Consumption Inputs'!$E$6*B94,0)))</f>
        <v/>
      </c>
      <c r="I94" s="109" t="str">
        <f>IF($D20="","",IF(AND(BB20=1,R20=1),'Consumption Inputs'!$D$7*B94,IF(AND(BB20=1,R20=2),'Consumption Inputs'!$E$7*B94,0)))</f>
        <v/>
      </c>
      <c r="J94" s="109" t="str">
        <f t="shared" si="52"/>
        <v/>
      </c>
      <c r="K94" s="110" t="str">
        <f t="shared" si="53"/>
        <v/>
      </c>
      <c r="L94" s="67"/>
      <c r="M94" s="67"/>
    </row>
    <row r="95" spans="1:13" ht="20.100000000000001" customHeight="1" x14ac:dyDescent="0.2">
      <c r="A95" s="102">
        <f t="shared" si="48"/>
        <v>17</v>
      </c>
      <c r="B95" s="108" t="str">
        <f t="shared" si="45"/>
        <v/>
      </c>
      <c r="C95" s="108" t="str">
        <f t="shared" si="46"/>
        <v/>
      </c>
      <c r="D95" s="108" t="str">
        <f t="shared" si="47"/>
        <v/>
      </c>
      <c r="E95" s="109" t="str">
        <f t="shared" si="49"/>
        <v/>
      </c>
      <c r="F95" s="109" t="str">
        <f t="shared" si="50"/>
        <v/>
      </c>
      <c r="G95" s="109" t="str">
        <f t="shared" si="51"/>
        <v/>
      </c>
      <c r="H95" s="109" t="str">
        <f>IF($D21="","",IF(R21=1,'Consumption Inputs'!$D$6*B95,IF(R21=2,'Consumption Inputs'!$E$6*B95,0)))</f>
        <v/>
      </c>
      <c r="I95" s="109" t="str">
        <f>IF($D21="","",IF(AND(BB21=1,R21=1),'Consumption Inputs'!$D$7*B95,IF(AND(BB21=1,R21=2),'Consumption Inputs'!$E$7*B95,0)))</f>
        <v/>
      </c>
      <c r="J95" s="109" t="str">
        <f t="shared" si="52"/>
        <v/>
      </c>
      <c r="K95" s="110" t="str">
        <f t="shared" si="53"/>
        <v/>
      </c>
      <c r="L95" s="67"/>
      <c r="M95" s="67"/>
    </row>
    <row r="96" spans="1:13" ht="20.100000000000001" customHeight="1" x14ac:dyDescent="0.2">
      <c r="A96" s="102">
        <f t="shared" si="48"/>
        <v>18</v>
      </c>
      <c r="B96" s="108" t="str">
        <f t="shared" si="45"/>
        <v/>
      </c>
      <c r="C96" s="108" t="str">
        <f t="shared" si="46"/>
        <v/>
      </c>
      <c r="D96" s="108" t="str">
        <f t="shared" si="47"/>
        <v/>
      </c>
      <c r="E96" s="109" t="str">
        <f t="shared" si="49"/>
        <v/>
      </c>
      <c r="F96" s="109" t="str">
        <f t="shared" si="50"/>
        <v/>
      </c>
      <c r="G96" s="109" t="str">
        <f t="shared" si="51"/>
        <v/>
      </c>
      <c r="H96" s="109" t="str">
        <f>IF($D22="","",IF(R22=1,'Consumption Inputs'!$D$6*B96,IF(R22=2,'Consumption Inputs'!$E$6*B96,0)))</f>
        <v/>
      </c>
      <c r="I96" s="109" t="str">
        <f>IF($D22="","",IF(AND(BB22=1,R22=1),'Consumption Inputs'!$D$7*B96,IF(AND(BB22=1,R22=2),'Consumption Inputs'!$E$7*B96,0)))</f>
        <v/>
      </c>
      <c r="J96" s="109" t="str">
        <f t="shared" si="52"/>
        <v/>
      </c>
      <c r="K96" s="110" t="str">
        <f t="shared" si="53"/>
        <v/>
      </c>
      <c r="L96" s="67"/>
      <c r="M96" s="67"/>
    </row>
    <row r="97" spans="1:13" ht="20.100000000000001" customHeight="1" x14ac:dyDescent="0.2">
      <c r="A97" s="102">
        <f t="shared" si="48"/>
        <v>19</v>
      </c>
      <c r="B97" s="108" t="str">
        <f t="shared" si="45"/>
        <v/>
      </c>
      <c r="C97" s="108" t="str">
        <f t="shared" si="46"/>
        <v/>
      </c>
      <c r="D97" s="108" t="str">
        <f t="shared" si="47"/>
        <v/>
      </c>
      <c r="E97" s="109" t="str">
        <f t="shared" si="49"/>
        <v/>
      </c>
      <c r="F97" s="109" t="str">
        <f t="shared" si="50"/>
        <v/>
      </c>
      <c r="G97" s="109" t="str">
        <f t="shared" si="51"/>
        <v/>
      </c>
      <c r="H97" s="109" t="str">
        <f>IF($D23="","",IF(R23=1,'Consumption Inputs'!$D$6*B97,IF(R23=2,'Consumption Inputs'!$E$6*B97,0)))</f>
        <v/>
      </c>
      <c r="I97" s="109" t="str">
        <f>IF($D23="","",IF(AND(BB23=1,R23=1),'Consumption Inputs'!$D$7*B97,IF(AND(BB23=1,R23=2),'Consumption Inputs'!$E$7*B97,0)))</f>
        <v/>
      </c>
      <c r="J97" s="109" t="str">
        <f t="shared" si="52"/>
        <v/>
      </c>
      <c r="K97" s="110" t="str">
        <f t="shared" si="53"/>
        <v/>
      </c>
      <c r="L97" s="67"/>
      <c r="M97" s="67"/>
    </row>
    <row r="98" spans="1:13" ht="20.100000000000001" customHeight="1" thickBot="1" x14ac:dyDescent="0.25">
      <c r="A98" s="120">
        <f t="shared" si="48"/>
        <v>20</v>
      </c>
      <c r="B98" s="111" t="str">
        <f t="shared" si="45"/>
        <v/>
      </c>
      <c r="C98" s="111" t="str">
        <f t="shared" si="46"/>
        <v/>
      </c>
      <c r="D98" s="111" t="str">
        <f t="shared" si="47"/>
        <v/>
      </c>
      <c r="E98" s="112" t="str">
        <f t="shared" si="49"/>
        <v/>
      </c>
      <c r="F98" s="112" t="str">
        <f t="shared" si="50"/>
        <v/>
      </c>
      <c r="G98" s="112" t="str">
        <f t="shared" si="51"/>
        <v/>
      </c>
      <c r="H98" s="112" t="str">
        <f>IF($D24="","",IF(R24=1,'Consumption Inputs'!$D$6*B98,IF(R24=2,'Consumption Inputs'!$E$6*B98,0)))</f>
        <v/>
      </c>
      <c r="I98" s="112" t="str">
        <f>IF($D24="","",IF(AND(BB24=1,R24=1),'Consumption Inputs'!$D$7*B98,IF(AND(BB24=1,R24=2),'Consumption Inputs'!$E$7*B98,0)))</f>
        <v/>
      </c>
      <c r="J98" s="112" t="str">
        <f t="shared" si="52"/>
        <v/>
      </c>
      <c r="K98" s="113" t="str">
        <f t="shared" si="53"/>
        <v/>
      </c>
      <c r="L98" s="67"/>
      <c r="M98" s="67"/>
    </row>
    <row r="99" spans="1:13" ht="20.100000000000001" customHeight="1" thickTop="1" thickBot="1" x14ac:dyDescent="0.25">
      <c r="A99" s="51" t="s">
        <v>0</v>
      </c>
      <c r="B99" s="73">
        <f t="shared" ref="B99:C99" si="54">SUM(B79:B98)</f>
        <v>34</v>
      </c>
      <c r="C99" s="73">
        <f t="shared" si="54"/>
        <v>816</v>
      </c>
      <c r="D99" s="130">
        <f>E25/N25</f>
        <v>7.8063725490196081</v>
      </c>
      <c r="E99" s="130">
        <f>SUM(E79:E98)</f>
        <v>3115.2533861342877</v>
      </c>
      <c r="F99" s="130">
        <f t="shared" ref="F99:K99" si="55">SUM(F79:F98)</f>
        <v>85.173842700997454</v>
      </c>
      <c r="G99" s="130">
        <f t="shared" si="55"/>
        <v>0</v>
      </c>
      <c r="H99" s="73">
        <f t="shared" si="55"/>
        <v>4318.5460812251913</v>
      </c>
      <c r="I99" s="73">
        <f t="shared" si="55"/>
        <v>667.52083333340124</v>
      </c>
      <c r="J99" s="73">
        <f t="shared" si="55"/>
        <v>4986.0669145585925</v>
      </c>
      <c r="K99" s="74">
        <f t="shared" si="55"/>
        <v>2137.6977926278169</v>
      </c>
      <c r="L99" s="68"/>
      <c r="M99" s="68"/>
    </row>
    <row r="100" spans="1:13" ht="20.100000000000001" customHeight="1" thickTop="1" thickBot="1" x14ac:dyDescent="0.25">
      <c r="D100" s="47" t="s">
        <v>153</v>
      </c>
      <c r="E100" s="131">
        <f>E77-E99</f>
        <v>155884.74661386572</v>
      </c>
      <c r="F100" s="131">
        <f t="shared" ref="F100:G100" si="56">F77-F99</f>
        <v>1714.8261572990025</v>
      </c>
      <c r="G100" s="114">
        <f t="shared" si="56"/>
        <v>300</v>
      </c>
    </row>
    <row r="101" spans="1:13" ht="20.100000000000001" customHeight="1" thickTop="1" x14ac:dyDescent="0.2"/>
    <row r="102" spans="1:13" ht="20.100000000000001" customHeight="1" thickBot="1" x14ac:dyDescent="0.35">
      <c r="A102" s="12" t="s">
        <v>143</v>
      </c>
      <c r="B102" s="20"/>
      <c r="C102" s="20"/>
      <c r="D102" s="21"/>
    </row>
    <row r="103" spans="1:13" ht="20.100000000000001" customHeight="1" thickTop="1" thickBot="1" x14ac:dyDescent="0.25">
      <c r="A103" s="51" t="s">
        <v>44</v>
      </c>
      <c r="B103" s="100" t="s">
        <v>48</v>
      </c>
      <c r="C103" s="100" t="s">
        <v>50</v>
      </c>
      <c r="D103" s="99" t="s">
        <v>49</v>
      </c>
      <c r="E103" s="99" t="s">
        <v>139</v>
      </c>
      <c r="F103" s="99" t="s">
        <v>140</v>
      </c>
      <c r="G103" s="99" t="s">
        <v>141</v>
      </c>
      <c r="H103" s="99" t="s">
        <v>131</v>
      </c>
      <c r="I103" s="99" t="s">
        <v>53</v>
      </c>
      <c r="J103" s="99" t="s">
        <v>132</v>
      </c>
      <c r="K103" s="101" t="s">
        <v>138</v>
      </c>
      <c r="L103" s="65"/>
      <c r="M103" s="65"/>
    </row>
    <row r="104" spans="1:13" ht="20.100000000000001" customHeight="1" thickTop="1" x14ac:dyDescent="0.2">
      <c r="A104" s="102">
        <f>A5</f>
        <v>1</v>
      </c>
      <c r="B104" s="105">
        <f>B79</f>
        <v>9.0625</v>
      </c>
      <c r="C104" s="105">
        <f t="shared" ref="C104:D104" si="57">C79</f>
        <v>217.5</v>
      </c>
      <c r="D104" s="105">
        <f t="shared" si="57"/>
        <v>11.291954022988506</v>
      </c>
      <c r="E104" s="106">
        <f>IF(E79="","",E79/$B79)</f>
        <v>99.173553719008268</v>
      </c>
      <c r="F104" s="106">
        <f t="shared" ref="F104:I104" si="58">IF(F79="","",F79/$B79)</f>
        <v>0.7</v>
      </c>
      <c r="G104" s="106">
        <f t="shared" si="58"/>
        <v>0</v>
      </c>
      <c r="H104" s="106">
        <f t="shared" si="58"/>
        <v>69.724255599999992</v>
      </c>
      <c r="I104" s="106">
        <f t="shared" si="58"/>
        <v>0</v>
      </c>
      <c r="J104" s="106">
        <f>IF(J79="","",J79/$B79)</f>
        <v>69.724255599999992</v>
      </c>
      <c r="K104" s="107">
        <f>IF(K79="","",K79/$B79)</f>
        <v>0</v>
      </c>
      <c r="L104" s="67"/>
      <c r="M104" s="67"/>
    </row>
    <row r="105" spans="1:13" ht="20.100000000000001" customHeight="1" x14ac:dyDescent="0.2">
      <c r="A105" s="102">
        <f t="shared" ref="A105:A123" si="59">A6</f>
        <v>2</v>
      </c>
      <c r="B105" s="108">
        <f t="shared" ref="B105:D120" si="60">B80</f>
        <v>0.10416666666424135</v>
      </c>
      <c r="C105" s="108">
        <f t="shared" si="60"/>
        <v>2.4999999999417923</v>
      </c>
      <c r="D105" s="108">
        <f t="shared" si="60"/>
        <v>12.000000000279396</v>
      </c>
      <c r="E105" s="109">
        <f t="shared" ref="E105:K120" si="61">IF(E80="","",E80/$B80)</f>
        <v>0</v>
      </c>
      <c r="F105" s="109">
        <f t="shared" si="61"/>
        <v>5.8735362997658083</v>
      </c>
      <c r="G105" s="109">
        <f t="shared" si="61"/>
        <v>0</v>
      </c>
      <c r="H105" s="109">
        <f t="shared" si="61"/>
        <v>69.724255599999992</v>
      </c>
      <c r="I105" s="109">
        <f t="shared" si="61"/>
        <v>0</v>
      </c>
      <c r="J105" s="109">
        <f t="shared" si="61"/>
        <v>69.724255599999992</v>
      </c>
      <c r="K105" s="110">
        <f t="shared" si="61"/>
        <v>69.724255599999992</v>
      </c>
      <c r="L105" s="67"/>
      <c r="M105" s="67"/>
    </row>
    <row r="106" spans="1:13" ht="20.100000000000001" customHeight="1" x14ac:dyDescent="0.2">
      <c r="A106" s="102">
        <f t="shared" si="59"/>
        <v>3</v>
      </c>
      <c r="B106" s="108">
        <f t="shared" si="60"/>
        <v>1</v>
      </c>
      <c r="C106" s="108">
        <f t="shared" si="60"/>
        <v>24</v>
      </c>
      <c r="D106" s="108">
        <f t="shared" si="60"/>
        <v>1</v>
      </c>
      <c r="E106" s="109">
        <f t="shared" si="61"/>
        <v>55.785123966942152</v>
      </c>
      <c r="F106" s="109">
        <f t="shared" si="61"/>
        <v>3.1</v>
      </c>
      <c r="G106" s="109">
        <f t="shared" si="61"/>
        <v>0</v>
      </c>
      <c r="H106" s="109">
        <f t="shared" si="61"/>
        <v>148.16404315000003</v>
      </c>
      <c r="I106" s="109">
        <f t="shared" si="61"/>
        <v>0</v>
      </c>
      <c r="J106" s="109">
        <f t="shared" si="61"/>
        <v>148.16404315000003</v>
      </c>
      <c r="K106" s="110">
        <f t="shared" si="61"/>
        <v>92.378919183057874</v>
      </c>
      <c r="L106" s="67"/>
      <c r="M106" s="67"/>
    </row>
    <row r="107" spans="1:13" ht="20.100000000000001" customHeight="1" x14ac:dyDescent="0.2">
      <c r="A107" s="102">
        <f t="shared" si="59"/>
        <v>4</v>
      </c>
      <c r="B107" s="108">
        <f t="shared" si="60"/>
        <v>8.3333333335758653E-2</v>
      </c>
      <c r="C107" s="108">
        <f t="shared" si="60"/>
        <v>2.0000000000582077</v>
      </c>
      <c r="D107" s="108">
        <f t="shared" si="60"/>
        <v>14.999999999563443</v>
      </c>
      <c r="E107" s="109">
        <f t="shared" si="61"/>
        <v>0</v>
      </c>
      <c r="F107" s="109">
        <f t="shared" si="61"/>
        <v>5.8735362997658083</v>
      </c>
      <c r="G107" s="109">
        <f t="shared" si="61"/>
        <v>0</v>
      </c>
      <c r="H107" s="109">
        <f t="shared" si="61"/>
        <v>148.16404315000003</v>
      </c>
      <c r="I107" s="109">
        <f t="shared" si="61"/>
        <v>0</v>
      </c>
      <c r="J107" s="109">
        <f t="shared" si="61"/>
        <v>148.16404315000003</v>
      </c>
      <c r="K107" s="110">
        <f t="shared" si="61"/>
        <v>148.16404315000003</v>
      </c>
      <c r="L107" s="67"/>
      <c r="M107" s="67"/>
    </row>
    <row r="108" spans="1:13" ht="20.100000000000001" customHeight="1" x14ac:dyDescent="0.2">
      <c r="A108" s="102">
        <f t="shared" si="59"/>
        <v>5</v>
      </c>
      <c r="B108" s="108">
        <f t="shared" si="60"/>
        <v>22.250694444446708</v>
      </c>
      <c r="C108" s="108">
        <f t="shared" si="60"/>
        <v>534.01666666672099</v>
      </c>
      <c r="D108" s="108">
        <f t="shared" si="60"/>
        <v>7.0409787459809943</v>
      </c>
      <c r="E108" s="109">
        <f t="shared" si="61"/>
        <v>97.107438016528917</v>
      </c>
      <c r="F108" s="109">
        <f t="shared" si="61"/>
        <v>0.7</v>
      </c>
      <c r="G108" s="109">
        <f t="shared" si="61"/>
        <v>0</v>
      </c>
      <c r="H108" s="109">
        <f t="shared" si="61"/>
        <v>148.16404315000003</v>
      </c>
      <c r="I108" s="109">
        <f t="shared" si="61"/>
        <v>30</v>
      </c>
      <c r="J108" s="109">
        <f t="shared" si="61"/>
        <v>178.16404315000003</v>
      </c>
      <c r="K108" s="110">
        <f t="shared" si="61"/>
        <v>81.056605133471109</v>
      </c>
      <c r="L108" s="67"/>
      <c r="M108" s="67"/>
    </row>
    <row r="109" spans="1:13" ht="20.100000000000001" customHeight="1" x14ac:dyDescent="0.2">
      <c r="A109" s="102">
        <f t="shared" si="59"/>
        <v>6</v>
      </c>
      <c r="B109" s="108">
        <f t="shared" si="60"/>
        <v>0.24930555555329192</v>
      </c>
      <c r="C109" s="108">
        <f t="shared" si="60"/>
        <v>5.9833333332790062</v>
      </c>
      <c r="D109" s="108">
        <f t="shared" si="60"/>
        <v>6.6852367688629286</v>
      </c>
      <c r="E109" s="109">
        <f t="shared" si="61"/>
        <v>0</v>
      </c>
      <c r="F109" s="109">
        <f t="shared" si="61"/>
        <v>8.3735362997658083</v>
      </c>
      <c r="G109" s="109">
        <f t="shared" si="61"/>
        <v>0</v>
      </c>
      <c r="H109" s="109">
        <f t="shared" si="61"/>
        <v>148.16404315000003</v>
      </c>
      <c r="I109" s="109">
        <f t="shared" si="61"/>
        <v>0</v>
      </c>
      <c r="J109" s="109">
        <f t="shared" si="61"/>
        <v>148.16404315000003</v>
      </c>
      <c r="K109" s="110">
        <f t="shared" si="61"/>
        <v>148.16404315000003</v>
      </c>
      <c r="L109" s="67"/>
      <c r="M109" s="67"/>
    </row>
    <row r="110" spans="1:13" ht="20.100000000000001" customHeight="1" x14ac:dyDescent="0.2">
      <c r="A110" s="102">
        <f t="shared" si="59"/>
        <v>7</v>
      </c>
      <c r="B110" s="108">
        <f t="shared" si="60"/>
        <v>1.25</v>
      </c>
      <c r="C110" s="108">
        <f t="shared" si="60"/>
        <v>30</v>
      </c>
      <c r="D110" s="108">
        <f t="shared" si="60"/>
        <v>1</v>
      </c>
      <c r="E110" s="109">
        <f t="shared" si="61"/>
        <v>0</v>
      </c>
      <c r="F110" s="109">
        <f t="shared" si="61"/>
        <v>45.572599531615921</v>
      </c>
      <c r="G110" s="109">
        <f t="shared" si="61"/>
        <v>0</v>
      </c>
      <c r="H110" s="109">
        <f t="shared" si="61"/>
        <v>148.16404315000003</v>
      </c>
      <c r="I110" s="109">
        <f t="shared" si="61"/>
        <v>0</v>
      </c>
      <c r="J110" s="109">
        <f t="shared" si="61"/>
        <v>148.16404315000003</v>
      </c>
      <c r="K110" s="110">
        <f t="shared" si="61"/>
        <v>148.16404315000003</v>
      </c>
      <c r="L110" s="67"/>
      <c r="M110" s="67"/>
    </row>
    <row r="111" spans="1:13" ht="20.100000000000001" customHeight="1" x14ac:dyDescent="0.2">
      <c r="A111" s="102">
        <f t="shared" si="59"/>
        <v>8</v>
      </c>
      <c r="B111" s="108" t="str">
        <f t="shared" si="60"/>
        <v/>
      </c>
      <c r="C111" s="108" t="str">
        <f t="shared" si="60"/>
        <v/>
      </c>
      <c r="D111" s="108" t="str">
        <f t="shared" si="60"/>
        <v/>
      </c>
      <c r="E111" s="109" t="str">
        <f t="shared" si="61"/>
        <v/>
      </c>
      <c r="F111" s="109" t="str">
        <f t="shared" si="61"/>
        <v/>
      </c>
      <c r="G111" s="109" t="str">
        <f t="shared" si="61"/>
        <v/>
      </c>
      <c r="H111" s="109" t="str">
        <f t="shared" si="61"/>
        <v/>
      </c>
      <c r="I111" s="109" t="str">
        <f t="shared" si="61"/>
        <v/>
      </c>
      <c r="J111" s="109" t="str">
        <f t="shared" si="61"/>
        <v/>
      </c>
      <c r="K111" s="110" t="str">
        <f t="shared" si="61"/>
        <v/>
      </c>
      <c r="L111" s="67"/>
      <c r="M111" s="67"/>
    </row>
    <row r="112" spans="1:13" ht="20.100000000000001" customHeight="1" x14ac:dyDescent="0.2">
      <c r="A112" s="102">
        <f t="shared" si="59"/>
        <v>9</v>
      </c>
      <c r="B112" s="108" t="str">
        <f t="shared" si="60"/>
        <v/>
      </c>
      <c r="C112" s="108" t="str">
        <f t="shared" si="60"/>
        <v/>
      </c>
      <c r="D112" s="108" t="str">
        <f t="shared" si="60"/>
        <v/>
      </c>
      <c r="E112" s="109" t="str">
        <f t="shared" si="61"/>
        <v/>
      </c>
      <c r="F112" s="109" t="str">
        <f t="shared" si="61"/>
        <v/>
      </c>
      <c r="G112" s="109" t="str">
        <f t="shared" si="61"/>
        <v/>
      </c>
      <c r="H112" s="109" t="str">
        <f t="shared" si="61"/>
        <v/>
      </c>
      <c r="I112" s="109" t="str">
        <f t="shared" si="61"/>
        <v/>
      </c>
      <c r="J112" s="109" t="str">
        <f t="shared" si="61"/>
        <v/>
      </c>
      <c r="K112" s="110" t="str">
        <f t="shared" si="61"/>
        <v/>
      </c>
      <c r="L112" s="67"/>
      <c r="M112" s="67"/>
    </row>
    <row r="113" spans="1:13" ht="20.100000000000001" customHeight="1" x14ac:dyDescent="0.2">
      <c r="A113" s="102">
        <f t="shared" si="59"/>
        <v>10</v>
      </c>
      <c r="B113" s="108" t="str">
        <f t="shared" si="60"/>
        <v/>
      </c>
      <c r="C113" s="108" t="str">
        <f t="shared" si="60"/>
        <v/>
      </c>
      <c r="D113" s="108" t="str">
        <f t="shared" si="60"/>
        <v/>
      </c>
      <c r="E113" s="109" t="str">
        <f t="shared" si="61"/>
        <v/>
      </c>
      <c r="F113" s="109" t="str">
        <f t="shared" si="61"/>
        <v/>
      </c>
      <c r="G113" s="109" t="str">
        <f t="shared" si="61"/>
        <v/>
      </c>
      <c r="H113" s="109" t="str">
        <f t="shared" si="61"/>
        <v/>
      </c>
      <c r="I113" s="109" t="str">
        <f t="shared" si="61"/>
        <v/>
      </c>
      <c r="J113" s="109" t="str">
        <f t="shared" si="61"/>
        <v/>
      </c>
      <c r="K113" s="110" t="str">
        <f t="shared" si="61"/>
        <v/>
      </c>
      <c r="L113" s="67"/>
      <c r="M113" s="67"/>
    </row>
    <row r="114" spans="1:13" ht="20.100000000000001" customHeight="1" x14ac:dyDescent="0.2">
      <c r="A114" s="102">
        <f t="shared" si="59"/>
        <v>11</v>
      </c>
      <c r="B114" s="108" t="str">
        <f t="shared" si="60"/>
        <v/>
      </c>
      <c r="C114" s="108" t="str">
        <f t="shared" si="60"/>
        <v/>
      </c>
      <c r="D114" s="108" t="str">
        <f t="shared" si="60"/>
        <v/>
      </c>
      <c r="E114" s="109" t="str">
        <f t="shared" si="61"/>
        <v/>
      </c>
      <c r="F114" s="109" t="str">
        <f t="shared" si="61"/>
        <v/>
      </c>
      <c r="G114" s="109" t="str">
        <f t="shared" si="61"/>
        <v/>
      </c>
      <c r="H114" s="109" t="str">
        <f t="shared" si="61"/>
        <v/>
      </c>
      <c r="I114" s="109" t="str">
        <f t="shared" si="61"/>
        <v/>
      </c>
      <c r="J114" s="109" t="str">
        <f t="shared" si="61"/>
        <v/>
      </c>
      <c r="K114" s="110" t="str">
        <f t="shared" si="61"/>
        <v/>
      </c>
      <c r="L114" s="67"/>
      <c r="M114" s="67"/>
    </row>
    <row r="115" spans="1:13" ht="20.100000000000001" customHeight="1" x14ac:dyDescent="0.2">
      <c r="A115" s="102">
        <f t="shared" si="59"/>
        <v>12</v>
      </c>
      <c r="B115" s="108" t="str">
        <f t="shared" si="60"/>
        <v/>
      </c>
      <c r="C115" s="108" t="str">
        <f t="shared" si="60"/>
        <v/>
      </c>
      <c r="D115" s="108" t="str">
        <f t="shared" si="60"/>
        <v/>
      </c>
      <c r="E115" s="109" t="str">
        <f t="shared" si="61"/>
        <v/>
      </c>
      <c r="F115" s="109" t="str">
        <f t="shared" si="61"/>
        <v/>
      </c>
      <c r="G115" s="109" t="str">
        <f t="shared" si="61"/>
        <v/>
      </c>
      <c r="H115" s="109" t="str">
        <f t="shared" si="61"/>
        <v/>
      </c>
      <c r="I115" s="109" t="str">
        <f t="shared" si="61"/>
        <v/>
      </c>
      <c r="J115" s="109" t="str">
        <f t="shared" si="61"/>
        <v/>
      </c>
      <c r="K115" s="110" t="str">
        <f t="shared" si="61"/>
        <v/>
      </c>
      <c r="L115" s="67"/>
      <c r="M115" s="67"/>
    </row>
    <row r="116" spans="1:13" ht="20.100000000000001" customHeight="1" x14ac:dyDescent="0.2">
      <c r="A116" s="102">
        <f t="shared" si="59"/>
        <v>13</v>
      </c>
      <c r="B116" s="108" t="str">
        <f t="shared" si="60"/>
        <v/>
      </c>
      <c r="C116" s="108" t="str">
        <f t="shared" si="60"/>
        <v/>
      </c>
      <c r="D116" s="108" t="str">
        <f t="shared" si="60"/>
        <v/>
      </c>
      <c r="E116" s="109" t="str">
        <f t="shared" si="61"/>
        <v/>
      </c>
      <c r="F116" s="109" t="str">
        <f t="shared" si="61"/>
        <v/>
      </c>
      <c r="G116" s="109" t="str">
        <f t="shared" si="61"/>
        <v/>
      </c>
      <c r="H116" s="109" t="str">
        <f t="shared" si="61"/>
        <v/>
      </c>
      <c r="I116" s="109" t="str">
        <f t="shared" si="61"/>
        <v/>
      </c>
      <c r="J116" s="109" t="str">
        <f t="shared" si="61"/>
        <v/>
      </c>
      <c r="K116" s="110" t="str">
        <f t="shared" si="61"/>
        <v/>
      </c>
      <c r="L116" s="67"/>
      <c r="M116" s="67"/>
    </row>
    <row r="117" spans="1:13" ht="20.100000000000001" customHeight="1" x14ac:dyDescent="0.2">
      <c r="A117" s="102">
        <f t="shared" si="59"/>
        <v>14</v>
      </c>
      <c r="B117" s="108" t="str">
        <f t="shared" si="60"/>
        <v/>
      </c>
      <c r="C117" s="108" t="str">
        <f t="shared" si="60"/>
        <v/>
      </c>
      <c r="D117" s="108" t="str">
        <f t="shared" si="60"/>
        <v/>
      </c>
      <c r="E117" s="109" t="str">
        <f t="shared" si="61"/>
        <v/>
      </c>
      <c r="F117" s="109" t="str">
        <f t="shared" si="61"/>
        <v/>
      </c>
      <c r="G117" s="109" t="str">
        <f t="shared" si="61"/>
        <v/>
      </c>
      <c r="H117" s="109" t="str">
        <f t="shared" si="61"/>
        <v/>
      </c>
      <c r="I117" s="109" t="str">
        <f t="shared" si="61"/>
        <v/>
      </c>
      <c r="J117" s="109" t="str">
        <f t="shared" si="61"/>
        <v/>
      </c>
      <c r="K117" s="110" t="str">
        <f t="shared" si="61"/>
        <v/>
      </c>
      <c r="L117" s="67"/>
      <c r="M117" s="67"/>
    </row>
    <row r="118" spans="1:13" ht="20.100000000000001" customHeight="1" x14ac:dyDescent="0.2">
      <c r="A118" s="102">
        <f t="shared" si="59"/>
        <v>15</v>
      </c>
      <c r="B118" s="108" t="str">
        <f t="shared" si="60"/>
        <v/>
      </c>
      <c r="C118" s="108" t="str">
        <f t="shared" si="60"/>
        <v/>
      </c>
      <c r="D118" s="108" t="str">
        <f t="shared" si="60"/>
        <v/>
      </c>
      <c r="E118" s="109" t="str">
        <f t="shared" si="61"/>
        <v/>
      </c>
      <c r="F118" s="109" t="str">
        <f t="shared" si="61"/>
        <v/>
      </c>
      <c r="G118" s="109" t="str">
        <f t="shared" si="61"/>
        <v/>
      </c>
      <c r="H118" s="109" t="str">
        <f t="shared" si="61"/>
        <v/>
      </c>
      <c r="I118" s="109" t="str">
        <f t="shared" si="61"/>
        <v/>
      </c>
      <c r="J118" s="109" t="str">
        <f t="shared" si="61"/>
        <v/>
      </c>
      <c r="K118" s="110" t="str">
        <f t="shared" si="61"/>
        <v/>
      </c>
      <c r="L118" s="67"/>
      <c r="M118" s="67"/>
    </row>
    <row r="119" spans="1:13" ht="20.100000000000001" customHeight="1" x14ac:dyDescent="0.2">
      <c r="A119" s="102">
        <f t="shared" si="59"/>
        <v>16</v>
      </c>
      <c r="B119" s="108" t="str">
        <f t="shared" si="60"/>
        <v/>
      </c>
      <c r="C119" s="108" t="str">
        <f t="shared" si="60"/>
        <v/>
      </c>
      <c r="D119" s="108" t="str">
        <f t="shared" si="60"/>
        <v/>
      </c>
      <c r="E119" s="109" t="str">
        <f t="shared" si="61"/>
        <v/>
      </c>
      <c r="F119" s="109" t="str">
        <f t="shared" si="61"/>
        <v/>
      </c>
      <c r="G119" s="109" t="str">
        <f t="shared" si="61"/>
        <v/>
      </c>
      <c r="H119" s="109" t="str">
        <f t="shared" si="61"/>
        <v/>
      </c>
      <c r="I119" s="109" t="str">
        <f t="shared" si="61"/>
        <v/>
      </c>
      <c r="J119" s="109" t="str">
        <f t="shared" si="61"/>
        <v/>
      </c>
      <c r="K119" s="110" t="str">
        <f t="shared" si="61"/>
        <v/>
      </c>
      <c r="L119" s="67"/>
      <c r="M119" s="67"/>
    </row>
    <row r="120" spans="1:13" ht="20.100000000000001" customHeight="1" x14ac:dyDescent="0.2">
      <c r="A120" s="102">
        <f t="shared" si="59"/>
        <v>17</v>
      </c>
      <c r="B120" s="108" t="str">
        <f t="shared" si="60"/>
        <v/>
      </c>
      <c r="C120" s="108" t="str">
        <f t="shared" si="60"/>
        <v/>
      </c>
      <c r="D120" s="108" t="str">
        <f t="shared" si="60"/>
        <v/>
      </c>
      <c r="E120" s="109" t="str">
        <f t="shared" si="61"/>
        <v/>
      </c>
      <c r="F120" s="109" t="str">
        <f t="shared" si="61"/>
        <v/>
      </c>
      <c r="G120" s="109" t="str">
        <f t="shared" si="61"/>
        <v/>
      </c>
      <c r="H120" s="109" t="str">
        <f t="shared" si="61"/>
        <v/>
      </c>
      <c r="I120" s="109" t="str">
        <f t="shared" si="61"/>
        <v/>
      </c>
      <c r="J120" s="109" t="str">
        <f t="shared" si="61"/>
        <v/>
      </c>
      <c r="K120" s="110" t="str">
        <f t="shared" si="61"/>
        <v/>
      </c>
      <c r="L120" s="67"/>
      <c r="M120" s="67"/>
    </row>
    <row r="121" spans="1:13" ht="20.100000000000001" customHeight="1" x14ac:dyDescent="0.2">
      <c r="A121" s="102">
        <f t="shared" si="59"/>
        <v>18</v>
      </c>
      <c r="B121" s="108" t="str">
        <f t="shared" ref="B121:D123" si="62">B96</f>
        <v/>
      </c>
      <c r="C121" s="108" t="str">
        <f t="shared" si="62"/>
        <v/>
      </c>
      <c r="D121" s="108" t="str">
        <f t="shared" si="62"/>
        <v/>
      </c>
      <c r="E121" s="109" t="str">
        <f t="shared" ref="E121:K123" si="63">IF(E96="","",E96/$B96)</f>
        <v/>
      </c>
      <c r="F121" s="109" t="str">
        <f t="shared" si="63"/>
        <v/>
      </c>
      <c r="G121" s="109" t="str">
        <f t="shared" si="63"/>
        <v/>
      </c>
      <c r="H121" s="109" t="str">
        <f t="shared" si="63"/>
        <v/>
      </c>
      <c r="I121" s="109" t="str">
        <f t="shared" si="63"/>
        <v/>
      </c>
      <c r="J121" s="109" t="str">
        <f t="shared" si="63"/>
        <v/>
      </c>
      <c r="K121" s="110" t="str">
        <f t="shared" si="63"/>
        <v/>
      </c>
      <c r="L121" s="67"/>
      <c r="M121" s="67"/>
    </row>
    <row r="122" spans="1:13" ht="20.100000000000001" customHeight="1" x14ac:dyDescent="0.2">
      <c r="A122" s="102">
        <f t="shared" si="59"/>
        <v>19</v>
      </c>
      <c r="B122" s="108" t="str">
        <f t="shared" si="62"/>
        <v/>
      </c>
      <c r="C122" s="108" t="str">
        <f t="shared" si="62"/>
        <v/>
      </c>
      <c r="D122" s="108" t="str">
        <f t="shared" si="62"/>
        <v/>
      </c>
      <c r="E122" s="109" t="str">
        <f t="shared" si="63"/>
        <v/>
      </c>
      <c r="F122" s="109" t="str">
        <f t="shared" si="63"/>
        <v/>
      </c>
      <c r="G122" s="109" t="str">
        <f t="shared" si="63"/>
        <v/>
      </c>
      <c r="H122" s="109" t="str">
        <f t="shared" si="63"/>
        <v/>
      </c>
      <c r="I122" s="109" t="str">
        <f t="shared" si="63"/>
        <v/>
      </c>
      <c r="J122" s="109" t="str">
        <f t="shared" si="63"/>
        <v/>
      </c>
      <c r="K122" s="110" t="str">
        <f t="shared" si="63"/>
        <v/>
      </c>
      <c r="L122" s="67"/>
      <c r="M122" s="67"/>
    </row>
    <row r="123" spans="1:13" ht="20.100000000000001" customHeight="1" thickBot="1" x14ac:dyDescent="0.25">
      <c r="A123" s="120">
        <f t="shared" si="59"/>
        <v>20</v>
      </c>
      <c r="B123" s="111" t="str">
        <f t="shared" si="62"/>
        <v/>
      </c>
      <c r="C123" s="111" t="str">
        <f t="shared" si="62"/>
        <v/>
      </c>
      <c r="D123" s="111" t="str">
        <f t="shared" si="62"/>
        <v/>
      </c>
      <c r="E123" s="112" t="str">
        <f t="shared" si="63"/>
        <v/>
      </c>
      <c r="F123" s="112" t="str">
        <f t="shared" si="63"/>
        <v/>
      </c>
      <c r="G123" s="112" t="str">
        <f t="shared" si="63"/>
        <v/>
      </c>
      <c r="H123" s="112" t="str">
        <f t="shared" si="63"/>
        <v/>
      </c>
      <c r="I123" s="112" t="str">
        <f t="shared" si="63"/>
        <v/>
      </c>
      <c r="J123" s="112" t="str">
        <f t="shared" si="63"/>
        <v/>
      </c>
      <c r="K123" s="115" t="str">
        <f t="shared" si="63"/>
        <v/>
      </c>
      <c r="L123" s="67"/>
      <c r="M123" s="67"/>
    </row>
    <row r="124" spans="1:13" ht="20.100000000000001" customHeight="1" thickTop="1" thickBot="1" x14ac:dyDescent="0.25">
      <c r="A124" s="51" t="s">
        <v>0</v>
      </c>
      <c r="B124" s="73">
        <f t="shared" ref="B124:C124" si="64">SUM(B104:B123)</f>
        <v>34</v>
      </c>
      <c r="C124" s="73">
        <f t="shared" si="64"/>
        <v>816</v>
      </c>
      <c r="D124" s="73">
        <f>E25/N25</f>
        <v>7.8063725490196081</v>
      </c>
      <c r="E124" s="73">
        <f>E99/$B99</f>
        <v>91.625099592184938</v>
      </c>
      <c r="F124" s="73">
        <f t="shared" ref="F124:K124" si="65">F99/$B99</f>
        <v>2.5051130206175722</v>
      </c>
      <c r="G124" s="73">
        <f t="shared" si="65"/>
        <v>0</v>
      </c>
      <c r="H124" s="73">
        <f t="shared" si="65"/>
        <v>127.01606121250563</v>
      </c>
      <c r="I124" s="73">
        <f t="shared" si="65"/>
        <v>19.632965686276506</v>
      </c>
      <c r="J124" s="73">
        <f t="shared" si="65"/>
        <v>146.64902689878213</v>
      </c>
      <c r="K124" s="74">
        <f t="shared" si="65"/>
        <v>62.87346448905344</v>
      </c>
      <c r="L124" s="68"/>
      <c r="M124" s="68"/>
    </row>
    <row r="125" spans="1:13" ht="20.100000000000001" customHeight="1" thickTop="1" x14ac:dyDescent="0.2"/>
  </sheetData>
  <sheetProtection sheet="1" objects="1" scenarios="1"/>
  <dataValidations count="4">
    <dataValidation type="list" allowBlank="1" showInputMessage="1" showErrorMessage="1" sqref="J5:K24" xr:uid="{00000000-0002-0000-0600-000000000000}">
      <formula1>$U$5:$U$7</formula1>
    </dataValidation>
    <dataValidation type="list" allowBlank="1" showInputMessage="1" showErrorMessage="1" sqref="I5:I24" xr:uid="{00000000-0002-0000-0600-000001000000}">
      <formula1>$Q$5:$Q$7</formula1>
    </dataValidation>
    <dataValidation type="list" allowBlank="1" showInputMessage="1" showErrorMessage="1" sqref="L5:L24" xr:uid="{00000000-0002-0000-0600-000002000000}">
      <formula1>$W$5:$W$8</formula1>
    </dataValidation>
    <dataValidation type="list" allowBlank="1" showInputMessage="1" showErrorMessage="1" sqref="H5:H24" xr:uid="{00000000-0002-0000-0600-000003000000}">
      <formula1>$S$5:$S$13</formula1>
    </dataValidation>
  </dataValidations>
  <pageMargins left="0.75" right="0.75" top="1" bottom="1" header="0.5" footer="0.5"/>
  <pageSetup orientation="portrait" horizontalDpi="4294967294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Consumption Inputs</vt:lpstr>
      <vt:lpstr>Free to multiply</vt:lpstr>
      <vt:lpstr>ETA by Speed</vt:lpstr>
      <vt:lpstr>Manual Input by Dates</vt:lpstr>
      <vt:lpstr>Manual Input by Speed</vt:lpstr>
      <vt:lpstr>Consumption by Dates</vt:lpstr>
      <vt:lpstr>Consumption by Speed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Klejna</dc:creator>
  <cp:lastModifiedBy>Krzysztof Klejna</cp:lastModifiedBy>
  <dcterms:created xsi:type="dcterms:W3CDTF">2021-05-02T08:35:45Z</dcterms:created>
  <dcterms:modified xsi:type="dcterms:W3CDTF">2023-10-01T08:25:58Z</dcterms:modified>
</cp:coreProperties>
</file>