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zys\Documents\GAZOWCE\Files\"/>
    </mc:Choice>
  </mc:AlternateContent>
  <xr:revisionPtr revIDLastSave="0" documentId="13_ncr:1_{C1EE664B-1CDD-414C-B1C0-E25CE511DFFC}" xr6:coauthVersionLast="47" xr6:coauthVersionMax="47" xr10:uidLastSave="{00000000-0000-0000-0000-000000000000}"/>
  <bookViews>
    <workbookView xWindow="46980" yWindow="555" windowWidth="30090" windowHeight="20700" xr2:uid="{00000000-000D-0000-FFFF-FFFF00000000}"/>
  </bookViews>
  <sheets>
    <sheet name="LNG vapour calculation" sheetId="3" r:id="rId1"/>
    <sheet name="Example compositions" sheetId="8" r:id="rId2"/>
    <sheet name="ISO 6578 Tables" sheetId="7" r:id="rId3"/>
  </sheets>
  <definedNames>
    <definedName name="_xlnm.Print_Area" localSheetId="0">'LNG vapour calculation'!$A$4:$C$56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7" l="1"/>
  <c r="AG14" i="3"/>
  <c r="AG15" i="3"/>
  <c r="AG16" i="3"/>
  <c r="AG17" i="3"/>
  <c r="AG18" i="3"/>
  <c r="AG19" i="3"/>
  <c r="AG21" i="3"/>
  <c r="C52" i="3"/>
  <c r="C44" i="3"/>
  <c r="L13" i="7"/>
  <c r="L12" i="7"/>
  <c r="L11" i="7"/>
  <c r="L10" i="7"/>
  <c r="L9" i="7"/>
  <c r="L8" i="7"/>
  <c r="L7" i="7"/>
  <c r="L6" i="7"/>
  <c r="L5" i="7"/>
  <c r="AO27" i="7"/>
  <c r="AO25" i="7"/>
  <c r="AO24" i="7"/>
  <c r="AO23" i="7"/>
  <c r="AO22" i="7"/>
  <c r="AO21" i="7"/>
  <c r="AO20" i="7"/>
  <c r="AO19" i="7"/>
  <c r="AM27" i="7"/>
  <c r="AM25" i="7"/>
  <c r="AM24" i="7"/>
  <c r="AM23" i="7"/>
  <c r="AM22" i="7"/>
  <c r="AM21" i="7"/>
  <c r="AM20" i="7"/>
  <c r="AM19" i="7"/>
  <c r="AK27" i="7"/>
  <c r="AK25" i="7"/>
  <c r="AK24" i="7"/>
  <c r="AK23" i="7"/>
  <c r="AK22" i="7"/>
  <c r="AK21" i="7"/>
  <c r="AK20" i="7"/>
  <c r="AK19" i="7"/>
  <c r="AI27" i="7"/>
  <c r="AI25" i="7"/>
  <c r="AI24" i="7"/>
  <c r="AI23" i="7"/>
  <c r="AI22" i="7"/>
  <c r="AI21" i="7"/>
  <c r="AI20" i="7"/>
  <c r="AI19" i="7"/>
  <c r="AG27" i="7"/>
  <c r="AG25" i="7"/>
  <c r="AG24" i="7"/>
  <c r="AG23" i="7"/>
  <c r="AG22" i="7"/>
  <c r="AG21" i="7"/>
  <c r="AG20" i="7"/>
  <c r="AG19" i="7"/>
  <c r="AE27" i="7"/>
  <c r="AE25" i="7"/>
  <c r="AE24" i="7"/>
  <c r="AE23" i="7"/>
  <c r="AE22" i="7"/>
  <c r="AE21" i="7"/>
  <c r="AE20" i="7"/>
  <c r="AE19" i="7"/>
  <c r="AC27" i="7"/>
  <c r="AC25" i="7"/>
  <c r="AC24" i="7"/>
  <c r="AC23" i="7"/>
  <c r="AC22" i="7"/>
  <c r="AC21" i="7"/>
  <c r="AC20" i="7"/>
  <c r="AC19" i="7"/>
  <c r="AA27" i="7"/>
  <c r="AA25" i="7"/>
  <c r="AA24" i="7"/>
  <c r="AA23" i="7"/>
  <c r="AA22" i="7"/>
  <c r="AA21" i="7"/>
  <c r="AA20" i="7"/>
  <c r="AA19" i="7"/>
  <c r="Y27" i="7"/>
  <c r="Y25" i="7"/>
  <c r="Y24" i="7"/>
  <c r="Y23" i="7"/>
  <c r="Y22" i="7"/>
  <c r="Y21" i="7"/>
  <c r="Y20" i="7"/>
  <c r="Y19" i="7"/>
  <c r="W27" i="7"/>
  <c r="W25" i="7"/>
  <c r="W24" i="7"/>
  <c r="W23" i="7"/>
  <c r="W22" i="7"/>
  <c r="W21" i="7"/>
  <c r="W20" i="7"/>
  <c r="W19" i="7"/>
  <c r="U27" i="7"/>
  <c r="U25" i="7"/>
  <c r="U24" i="7"/>
  <c r="U23" i="7"/>
  <c r="U22" i="7"/>
  <c r="U21" i="7"/>
  <c r="U20" i="7"/>
  <c r="U19" i="7"/>
  <c r="S27" i="7"/>
  <c r="S25" i="7"/>
  <c r="S24" i="7"/>
  <c r="S23" i="7"/>
  <c r="S22" i="7"/>
  <c r="S21" i="7"/>
  <c r="S20" i="7"/>
  <c r="S19" i="7"/>
  <c r="S17" i="7"/>
  <c r="S18" i="7" s="1"/>
  <c r="Q27" i="7"/>
  <c r="Q25" i="7"/>
  <c r="Q24" i="7"/>
  <c r="Q23" i="7"/>
  <c r="Q22" i="7"/>
  <c r="Q21" i="7"/>
  <c r="Q20" i="7"/>
  <c r="Q19" i="7"/>
  <c r="O27" i="7"/>
  <c r="O25" i="7"/>
  <c r="O24" i="7"/>
  <c r="O23" i="7"/>
  <c r="O22" i="7"/>
  <c r="O21" i="7"/>
  <c r="O20" i="7"/>
  <c r="O19" i="7"/>
  <c r="M27" i="7"/>
  <c r="M25" i="7"/>
  <c r="M24" i="7"/>
  <c r="M23" i="7"/>
  <c r="M22" i="7"/>
  <c r="M21" i="7"/>
  <c r="M20" i="7"/>
  <c r="M19" i="7"/>
  <c r="K27" i="7"/>
  <c r="K25" i="7"/>
  <c r="K24" i="7"/>
  <c r="K23" i="7"/>
  <c r="K22" i="7"/>
  <c r="K21" i="7"/>
  <c r="K20" i="7"/>
  <c r="K19" i="7"/>
  <c r="I27" i="7"/>
  <c r="I25" i="7"/>
  <c r="I24" i="7"/>
  <c r="I23" i="7"/>
  <c r="I22" i="7"/>
  <c r="I21" i="7"/>
  <c r="I20" i="7"/>
  <c r="I19" i="7"/>
  <c r="G27" i="7"/>
  <c r="G25" i="7"/>
  <c r="G24" i="7"/>
  <c r="G23" i="7"/>
  <c r="G22" i="7"/>
  <c r="G21" i="7"/>
  <c r="G20" i="7"/>
  <c r="G19" i="7"/>
  <c r="E27" i="7"/>
  <c r="E25" i="7"/>
  <c r="E24" i="7"/>
  <c r="E23" i="7"/>
  <c r="E22" i="7"/>
  <c r="E21" i="7"/>
  <c r="E20" i="7"/>
  <c r="E19" i="7"/>
  <c r="C20" i="7"/>
  <c r="C21" i="7"/>
  <c r="C22" i="7"/>
  <c r="C23" i="7"/>
  <c r="C24" i="7"/>
  <c r="C25" i="7"/>
  <c r="C27" i="7"/>
  <c r="C19" i="7"/>
  <c r="AP26" i="7"/>
  <c r="AN26" i="7"/>
  <c r="AL26" i="7"/>
  <c r="AJ26" i="7"/>
  <c r="AH26" i="7"/>
  <c r="AF26" i="7"/>
  <c r="AD26" i="7"/>
  <c r="AB26" i="7"/>
  <c r="Z26" i="7"/>
  <c r="X26" i="7"/>
  <c r="V26" i="7"/>
  <c r="T26" i="7"/>
  <c r="R26" i="7"/>
  <c r="P26" i="7"/>
  <c r="N26" i="7"/>
  <c r="L26" i="7"/>
  <c r="J26" i="7"/>
  <c r="H26" i="7"/>
  <c r="F26" i="7"/>
  <c r="D26" i="7"/>
  <c r="B26" i="7"/>
  <c r="P17" i="7"/>
  <c r="P18" i="7" s="1"/>
  <c r="T17" i="7"/>
  <c r="T18" i="7" s="1"/>
  <c r="R18" i="7"/>
  <c r="AT57" i="7"/>
  <c r="AS57" i="7"/>
  <c r="AR57" i="7"/>
  <c r="AQ57" i="7"/>
  <c r="AT56" i="7"/>
  <c r="AS56" i="7"/>
  <c r="AR56" i="7"/>
  <c r="AQ56" i="7"/>
  <c r="AT55" i="7"/>
  <c r="AS55" i="7"/>
  <c r="AR55" i="7"/>
  <c r="AQ55" i="7"/>
  <c r="AT54" i="7"/>
  <c r="AS54" i="7"/>
  <c r="AR54" i="7"/>
  <c r="AQ54" i="7"/>
  <c r="AT53" i="7"/>
  <c r="AS53" i="7"/>
  <c r="AR53" i="7"/>
  <c r="AQ53" i="7"/>
  <c r="AT52" i="7"/>
  <c r="AS52" i="7"/>
  <c r="AR52" i="7"/>
  <c r="AQ52" i="7"/>
  <c r="AT51" i="7"/>
  <c r="AS51" i="7"/>
  <c r="AR51" i="7"/>
  <c r="AQ51" i="7"/>
  <c r="AT50" i="7"/>
  <c r="AS50" i="7"/>
  <c r="AR50" i="7"/>
  <c r="AQ50" i="7"/>
  <c r="AT49" i="7"/>
  <c r="AS49" i="7"/>
  <c r="AR49" i="7"/>
  <c r="AQ49" i="7"/>
  <c r="AT48" i="7"/>
  <c r="AS48" i="7"/>
  <c r="AR48" i="7"/>
  <c r="AQ48" i="7"/>
  <c r="AO57" i="7"/>
  <c r="AN57" i="7"/>
  <c r="AM57" i="7"/>
  <c r="AL57" i="7"/>
  <c r="AO56" i="7"/>
  <c r="AN56" i="7"/>
  <c r="AM56" i="7"/>
  <c r="AL56" i="7"/>
  <c r="AO55" i="7"/>
  <c r="AN55" i="7"/>
  <c r="AM55" i="7"/>
  <c r="AL55" i="7"/>
  <c r="AO54" i="7"/>
  <c r="AN54" i="7"/>
  <c r="AM54" i="7"/>
  <c r="AL54" i="7"/>
  <c r="AO53" i="7"/>
  <c r="AN53" i="7"/>
  <c r="AM53" i="7"/>
  <c r="AL53" i="7"/>
  <c r="AO52" i="7"/>
  <c r="AN52" i="7"/>
  <c r="AM52" i="7"/>
  <c r="AL52" i="7"/>
  <c r="AO51" i="7"/>
  <c r="AN51" i="7"/>
  <c r="AM51" i="7"/>
  <c r="AL51" i="7"/>
  <c r="AO50" i="7"/>
  <c r="AN50" i="7"/>
  <c r="AM50" i="7"/>
  <c r="AL50" i="7"/>
  <c r="AO49" i="7"/>
  <c r="AN49" i="7"/>
  <c r="AM49" i="7"/>
  <c r="AL49" i="7"/>
  <c r="AO48" i="7"/>
  <c r="AN48" i="7"/>
  <c r="AM48" i="7"/>
  <c r="AL48" i="7"/>
  <c r="AJ57" i="7"/>
  <c r="AI57" i="7"/>
  <c r="AH57" i="7"/>
  <c r="AG57" i="7"/>
  <c r="AJ56" i="7"/>
  <c r="AI56" i="7"/>
  <c r="AH56" i="7"/>
  <c r="AG56" i="7"/>
  <c r="AJ55" i="7"/>
  <c r="AI55" i="7"/>
  <c r="AH55" i="7"/>
  <c r="AG55" i="7"/>
  <c r="AJ54" i="7"/>
  <c r="AI54" i="7"/>
  <c r="AH54" i="7"/>
  <c r="AG54" i="7"/>
  <c r="AJ53" i="7"/>
  <c r="AI53" i="7"/>
  <c r="AH53" i="7"/>
  <c r="AG53" i="7"/>
  <c r="AJ52" i="7"/>
  <c r="AI52" i="7"/>
  <c r="AH52" i="7"/>
  <c r="AG52" i="7"/>
  <c r="AJ51" i="7"/>
  <c r="AI51" i="7"/>
  <c r="AH51" i="7"/>
  <c r="AG51" i="7"/>
  <c r="AJ50" i="7"/>
  <c r="AI50" i="7"/>
  <c r="AH50" i="7"/>
  <c r="AG50" i="7"/>
  <c r="AJ49" i="7"/>
  <c r="AI49" i="7"/>
  <c r="AH49" i="7"/>
  <c r="AG49" i="7"/>
  <c r="AJ48" i="7"/>
  <c r="AI48" i="7"/>
  <c r="AH48" i="7"/>
  <c r="AG48" i="7"/>
  <c r="AE57" i="7"/>
  <c r="AD57" i="7"/>
  <c r="AC57" i="7"/>
  <c r="AB57" i="7"/>
  <c r="AE56" i="7"/>
  <c r="AD56" i="7"/>
  <c r="AC56" i="7"/>
  <c r="AB56" i="7"/>
  <c r="AE55" i="7"/>
  <c r="AD55" i="7"/>
  <c r="AC55" i="7"/>
  <c r="AB55" i="7"/>
  <c r="AE54" i="7"/>
  <c r="AD54" i="7"/>
  <c r="AC54" i="7"/>
  <c r="AB54" i="7"/>
  <c r="AE53" i="7"/>
  <c r="AD53" i="7"/>
  <c r="AC53" i="7"/>
  <c r="AB53" i="7"/>
  <c r="AE52" i="7"/>
  <c r="AD52" i="7"/>
  <c r="AC52" i="7"/>
  <c r="AB52" i="7"/>
  <c r="AE51" i="7"/>
  <c r="AD51" i="7"/>
  <c r="AC51" i="7"/>
  <c r="AB51" i="7"/>
  <c r="AE50" i="7"/>
  <c r="AD50" i="7"/>
  <c r="AC50" i="7"/>
  <c r="AB50" i="7"/>
  <c r="AE49" i="7"/>
  <c r="AD49" i="7"/>
  <c r="AC49" i="7"/>
  <c r="AB49" i="7"/>
  <c r="AE48" i="7"/>
  <c r="AD48" i="7"/>
  <c r="AC48" i="7"/>
  <c r="AB48" i="7"/>
  <c r="Z57" i="7"/>
  <c r="Y57" i="7"/>
  <c r="X57" i="7"/>
  <c r="W57" i="7"/>
  <c r="Z56" i="7"/>
  <c r="Y56" i="7"/>
  <c r="X56" i="7"/>
  <c r="W56" i="7"/>
  <c r="Z55" i="7"/>
  <c r="Y55" i="7"/>
  <c r="X55" i="7"/>
  <c r="W55" i="7"/>
  <c r="Z54" i="7"/>
  <c r="Y54" i="7"/>
  <c r="X54" i="7"/>
  <c r="W54" i="7"/>
  <c r="Z53" i="7"/>
  <c r="Y53" i="7"/>
  <c r="X53" i="7"/>
  <c r="W53" i="7"/>
  <c r="Z52" i="7"/>
  <c r="Y52" i="7"/>
  <c r="X52" i="7"/>
  <c r="W52" i="7"/>
  <c r="Z51" i="7"/>
  <c r="Y51" i="7"/>
  <c r="X51" i="7"/>
  <c r="W51" i="7"/>
  <c r="Z50" i="7"/>
  <c r="Y50" i="7"/>
  <c r="X50" i="7"/>
  <c r="W50" i="7"/>
  <c r="Z49" i="7"/>
  <c r="Y49" i="7"/>
  <c r="X49" i="7"/>
  <c r="W49" i="7"/>
  <c r="Z48" i="7"/>
  <c r="Y48" i="7"/>
  <c r="X48" i="7"/>
  <c r="W48" i="7"/>
  <c r="U57" i="7"/>
  <c r="T57" i="7"/>
  <c r="S57" i="7"/>
  <c r="R57" i="7"/>
  <c r="U56" i="7"/>
  <c r="T56" i="7"/>
  <c r="S56" i="7"/>
  <c r="R56" i="7"/>
  <c r="U55" i="7"/>
  <c r="T55" i="7"/>
  <c r="S55" i="7"/>
  <c r="R55" i="7"/>
  <c r="U54" i="7"/>
  <c r="T54" i="7"/>
  <c r="S54" i="7"/>
  <c r="R54" i="7"/>
  <c r="U53" i="7"/>
  <c r="T53" i="7"/>
  <c r="S53" i="7"/>
  <c r="R53" i="7"/>
  <c r="U52" i="7"/>
  <c r="T52" i="7"/>
  <c r="S52" i="7"/>
  <c r="R52" i="7"/>
  <c r="U51" i="7"/>
  <c r="T51" i="7"/>
  <c r="S51" i="7"/>
  <c r="R51" i="7"/>
  <c r="U50" i="7"/>
  <c r="T50" i="7"/>
  <c r="S50" i="7"/>
  <c r="R50" i="7"/>
  <c r="U49" i="7"/>
  <c r="T49" i="7"/>
  <c r="S49" i="7"/>
  <c r="R49" i="7"/>
  <c r="U48" i="7"/>
  <c r="T48" i="7"/>
  <c r="S48" i="7"/>
  <c r="R48" i="7"/>
  <c r="P57" i="7"/>
  <c r="O57" i="7"/>
  <c r="N57" i="7"/>
  <c r="M57" i="7"/>
  <c r="P56" i="7"/>
  <c r="O56" i="7"/>
  <c r="N56" i="7"/>
  <c r="M56" i="7"/>
  <c r="P55" i="7"/>
  <c r="O55" i="7"/>
  <c r="N55" i="7"/>
  <c r="M55" i="7"/>
  <c r="P54" i="7"/>
  <c r="O54" i="7"/>
  <c r="N54" i="7"/>
  <c r="M54" i="7"/>
  <c r="P53" i="7"/>
  <c r="O53" i="7"/>
  <c r="N53" i="7"/>
  <c r="M53" i="7"/>
  <c r="P52" i="7"/>
  <c r="O52" i="7"/>
  <c r="N52" i="7"/>
  <c r="M52" i="7"/>
  <c r="P51" i="7"/>
  <c r="O51" i="7"/>
  <c r="N51" i="7"/>
  <c r="M51" i="7"/>
  <c r="P50" i="7"/>
  <c r="O50" i="7"/>
  <c r="N50" i="7"/>
  <c r="M50" i="7"/>
  <c r="P49" i="7"/>
  <c r="O49" i="7"/>
  <c r="N49" i="7"/>
  <c r="M49" i="7"/>
  <c r="P48" i="7"/>
  <c r="O48" i="7"/>
  <c r="N48" i="7"/>
  <c r="M48" i="7"/>
  <c r="K57" i="7"/>
  <c r="J57" i="7"/>
  <c r="I57" i="7"/>
  <c r="H57" i="7"/>
  <c r="K56" i="7"/>
  <c r="J56" i="7"/>
  <c r="I56" i="7"/>
  <c r="H56" i="7"/>
  <c r="K55" i="7"/>
  <c r="J55" i="7"/>
  <c r="I55" i="7"/>
  <c r="H55" i="7"/>
  <c r="K54" i="7"/>
  <c r="J54" i="7"/>
  <c r="I54" i="7"/>
  <c r="H54" i="7"/>
  <c r="K53" i="7"/>
  <c r="J53" i="7"/>
  <c r="I53" i="7"/>
  <c r="H53" i="7"/>
  <c r="K52" i="7"/>
  <c r="J52" i="7"/>
  <c r="I52" i="7"/>
  <c r="H52" i="7"/>
  <c r="K51" i="7"/>
  <c r="J51" i="7"/>
  <c r="I51" i="7"/>
  <c r="H51" i="7"/>
  <c r="K50" i="7"/>
  <c r="J50" i="7"/>
  <c r="I50" i="7"/>
  <c r="H50" i="7"/>
  <c r="K49" i="7"/>
  <c r="J49" i="7"/>
  <c r="I49" i="7"/>
  <c r="H49" i="7"/>
  <c r="K48" i="7"/>
  <c r="J48" i="7"/>
  <c r="I48" i="7"/>
  <c r="H48" i="7"/>
  <c r="F57" i="7"/>
  <c r="E57" i="7"/>
  <c r="D57" i="7"/>
  <c r="C57" i="7"/>
  <c r="F56" i="7"/>
  <c r="E56" i="7"/>
  <c r="D56" i="7"/>
  <c r="C56" i="7"/>
  <c r="F55" i="7"/>
  <c r="E55" i="7"/>
  <c r="D55" i="7"/>
  <c r="C55" i="7"/>
  <c r="F54" i="7"/>
  <c r="E54" i="7"/>
  <c r="D54" i="7"/>
  <c r="C54" i="7"/>
  <c r="F53" i="7"/>
  <c r="E53" i="7"/>
  <c r="D53" i="7"/>
  <c r="C53" i="7"/>
  <c r="F52" i="7"/>
  <c r="E52" i="7"/>
  <c r="D52" i="7"/>
  <c r="C52" i="7"/>
  <c r="F51" i="7"/>
  <c r="E51" i="7"/>
  <c r="D51" i="7"/>
  <c r="C51" i="7"/>
  <c r="F50" i="7"/>
  <c r="E50" i="7"/>
  <c r="D50" i="7"/>
  <c r="C50" i="7"/>
  <c r="F49" i="7"/>
  <c r="E49" i="7"/>
  <c r="D49" i="7"/>
  <c r="C49" i="7"/>
  <c r="F48" i="7"/>
  <c r="E48" i="7"/>
  <c r="D48" i="7"/>
  <c r="C48" i="7"/>
  <c r="AT42" i="7"/>
  <c r="AS42" i="7"/>
  <c r="AR42" i="7"/>
  <c r="AQ42" i="7"/>
  <c r="AT41" i="7"/>
  <c r="AS41" i="7"/>
  <c r="AR41" i="7"/>
  <c r="AQ41" i="7"/>
  <c r="AT40" i="7"/>
  <c r="AS40" i="7"/>
  <c r="AR40" i="7"/>
  <c r="AQ40" i="7"/>
  <c r="AT39" i="7"/>
  <c r="AS39" i="7"/>
  <c r="AR39" i="7"/>
  <c r="AQ39" i="7"/>
  <c r="AT38" i="7"/>
  <c r="AS38" i="7"/>
  <c r="AR38" i="7"/>
  <c r="AQ38" i="7"/>
  <c r="AT37" i="7"/>
  <c r="AS37" i="7"/>
  <c r="AR37" i="7"/>
  <c r="AQ37" i="7"/>
  <c r="AT36" i="7"/>
  <c r="AS36" i="7"/>
  <c r="AR36" i="7"/>
  <c r="AQ36" i="7"/>
  <c r="AT35" i="7"/>
  <c r="AS35" i="7"/>
  <c r="AR35" i="7"/>
  <c r="AQ35" i="7"/>
  <c r="AT34" i="7"/>
  <c r="AS34" i="7"/>
  <c r="AR34" i="7"/>
  <c r="AQ34" i="7"/>
  <c r="AT33" i="7"/>
  <c r="AS33" i="7"/>
  <c r="AR33" i="7"/>
  <c r="AQ33" i="7"/>
  <c r="AO42" i="7"/>
  <c r="AN42" i="7"/>
  <c r="AM42" i="7"/>
  <c r="AL42" i="7"/>
  <c r="AO41" i="7"/>
  <c r="AN41" i="7"/>
  <c r="AM41" i="7"/>
  <c r="AL41" i="7"/>
  <c r="AO40" i="7"/>
  <c r="AN40" i="7"/>
  <c r="AM40" i="7"/>
  <c r="AL40" i="7"/>
  <c r="AO39" i="7"/>
  <c r="AN39" i="7"/>
  <c r="AM39" i="7"/>
  <c r="AL39" i="7"/>
  <c r="AO38" i="7"/>
  <c r="AN38" i="7"/>
  <c r="AM38" i="7"/>
  <c r="AL38" i="7"/>
  <c r="AO37" i="7"/>
  <c r="AN37" i="7"/>
  <c r="AM37" i="7"/>
  <c r="AL37" i="7"/>
  <c r="AO36" i="7"/>
  <c r="AN36" i="7"/>
  <c r="AM36" i="7"/>
  <c r="AL36" i="7"/>
  <c r="AO35" i="7"/>
  <c r="AN35" i="7"/>
  <c r="AM35" i="7"/>
  <c r="AL35" i="7"/>
  <c r="AO34" i="7"/>
  <c r="AN34" i="7"/>
  <c r="AM34" i="7"/>
  <c r="AL34" i="7"/>
  <c r="AO33" i="7"/>
  <c r="AN33" i="7"/>
  <c r="AM33" i="7"/>
  <c r="AL33" i="7"/>
  <c r="AJ42" i="7"/>
  <c r="AI42" i="7"/>
  <c r="AH42" i="7"/>
  <c r="AG42" i="7"/>
  <c r="AJ41" i="7"/>
  <c r="AI41" i="7"/>
  <c r="AH41" i="7"/>
  <c r="AG41" i="7"/>
  <c r="AJ40" i="7"/>
  <c r="AI40" i="7"/>
  <c r="AH40" i="7"/>
  <c r="AG40" i="7"/>
  <c r="AJ39" i="7"/>
  <c r="AI39" i="7"/>
  <c r="AH39" i="7"/>
  <c r="AG39" i="7"/>
  <c r="AJ38" i="7"/>
  <c r="AI38" i="7"/>
  <c r="AH38" i="7"/>
  <c r="AG38" i="7"/>
  <c r="AJ37" i="7"/>
  <c r="AI37" i="7"/>
  <c r="AH37" i="7"/>
  <c r="AG37" i="7"/>
  <c r="AJ36" i="7"/>
  <c r="AI36" i="7"/>
  <c r="AH36" i="7"/>
  <c r="AG36" i="7"/>
  <c r="AJ35" i="7"/>
  <c r="AI35" i="7"/>
  <c r="AH35" i="7"/>
  <c r="AG35" i="7"/>
  <c r="AJ34" i="7"/>
  <c r="AI34" i="7"/>
  <c r="AH34" i="7"/>
  <c r="AG34" i="7"/>
  <c r="AJ33" i="7"/>
  <c r="AI33" i="7"/>
  <c r="AH33" i="7"/>
  <c r="AG33" i="7"/>
  <c r="AE42" i="7"/>
  <c r="AD42" i="7"/>
  <c r="AC42" i="7"/>
  <c r="AB42" i="7"/>
  <c r="AE41" i="7"/>
  <c r="AD41" i="7"/>
  <c r="AC41" i="7"/>
  <c r="AB41" i="7"/>
  <c r="AE40" i="7"/>
  <c r="AD40" i="7"/>
  <c r="AC40" i="7"/>
  <c r="AB40" i="7"/>
  <c r="AE39" i="7"/>
  <c r="AD39" i="7"/>
  <c r="AC39" i="7"/>
  <c r="AB39" i="7"/>
  <c r="AE38" i="7"/>
  <c r="AD38" i="7"/>
  <c r="AC38" i="7"/>
  <c r="AB38" i="7"/>
  <c r="AE37" i="7"/>
  <c r="AD37" i="7"/>
  <c r="AC37" i="7"/>
  <c r="AB37" i="7"/>
  <c r="AE36" i="7"/>
  <c r="AD36" i="7"/>
  <c r="AC36" i="7"/>
  <c r="AB36" i="7"/>
  <c r="AE35" i="7"/>
  <c r="AD35" i="7"/>
  <c r="AC35" i="7"/>
  <c r="AB35" i="7"/>
  <c r="AE34" i="7"/>
  <c r="AD34" i="7"/>
  <c r="AC34" i="7"/>
  <c r="AB34" i="7"/>
  <c r="AE33" i="7"/>
  <c r="AD33" i="7"/>
  <c r="AC33" i="7"/>
  <c r="AB33" i="7"/>
  <c r="Z42" i="7"/>
  <c r="Y42" i="7"/>
  <c r="X42" i="7"/>
  <c r="W42" i="7"/>
  <c r="Z41" i="7"/>
  <c r="Y41" i="7"/>
  <c r="X41" i="7"/>
  <c r="W41" i="7"/>
  <c r="Z40" i="7"/>
  <c r="Y40" i="7"/>
  <c r="X40" i="7"/>
  <c r="W40" i="7"/>
  <c r="Z39" i="7"/>
  <c r="Y39" i="7"/>
  <c r="X39" i="7"/>
  <c r="W39" i="7"/>
  <c r="Z38" i="7"/>
  <c r="Y38" i="7"/>
  <c r="X38" i="7"/>
  <c r="W38" i="7"/>
  <c r="Z37" i="7"/>
  <c r="Y37" i="7"/>
  <c r="X37" i="7"/>
  <c r="W37" i="7"/>
  <c r="Z36" i="7"/>
  <c r="Y36" i="7"/>
  <c r="X36" i="7"/>
  <c r="W36" i="7"/>
  <c r="Z35" i="7"/>
  <c r="Y35" i="7"/>
  <c r="X35" i="7"/>
  <c r="W35" i="7"/>
  <c r="Z34" i="7"/>
  <c r="Y34" i="7"/>
  <c r="X34" i="7"/>
  <c r="W34" i="7"/>
  <c r="Z33" i="7"/>
  <c r="Y33" i="7"/>
  <c r="X33" i="7"/>
  <c r="W33" i="7"/>
  <c r="U42" i="7"/>
  <c r="T42" i="7"/>
  <c r="S42" i="7"/>
  <c r="R42" i="7"/>
  <c r="U41" i="7"/>
  <c r="T41" i="7"/>
  <c r="S41" i="7"/>
  <c r="R41" i="7"/>
  <c r="U40" i="7"/>
  <c r="T40" i="7"/>
  <c r="S40" i="7"/>
  <c r="R40" i="7"/>
  <c r="U39" i="7"/>
  <c r="T39" i="7"/>
  <c r="S39" i="7"/>
  <c r="R39" i="7"/>
  <c r="U38" i="7"/>
  <c r="T38" i="7"/>
  <c r="S38" i="7"/>
  <c r="R38" i="7"/>
  <c r="U37" i="7"/>
  <c r="T37" i="7"/>
  <c r="S37" i="7"/>
  <c r="R37" i="7"/>
  <c r="U36" i="7"/>
  <c r="T36" i="7"/>
  <c r="S36" i="7"/>
  <c r="R36" i="7"/>
  <c r="U35" i="7"/>
  <c r="T35" i="7"/>
  <c r="S35" i="7"/>
  <c r="R35" i="7"/>
  <c r="U34" i="7"/>
  <c r="T34" i="7"/>
  <c r="S34" i="7"/>
  <c r="R34" i="7"/>
  <c r="U33" i="7"/>
  <c r="T33" i="7"/>
  <c r="S33" i="7"/>
  <c r="R33" i="7"/>
  <c r="P42" i="7"/>
  <c r="O42" i="7"/>
  <c r="N42" i="7"/>
  <c r="M42" i="7"/>
  <c r="P41" i="7"/>
  <c r="O41" i="7"/>
  <c r="N41" i="7"/>
  <c r="M41" i="7"/>
  <c r="P40" i="7"/>
  <c r="O40" i="7"/>
  <c r="N40" i="7"/>
  <c r="M40" i="7"/>
  <c r="P39" i="7"/>
  <c r="O39" i="7"/>
  <c r="N39" i="7"/>
  <c r="M39" i="7"/>
  <c r="P38" i="7"/>
  <c r="O38" i="7"/>
  <c r="N38" i="7"/>
  <c r="M38" i="7"/>
  <c r="P37" i="7"/>
  <c r="O37" i="7"/>
  <c r="N37" i="7"/>
  <c r="M37" i="7"/>
  <c r="P36" i="7"/>
  <c r="O36" i="7"/>
  <c r="N36" i="7"/>
  <c r="M36" i="7"/>
  <c r="P35" i="7"/>
  <c r="O35" i="7"/>
  <c r="N35" i="7"/>
  <c r="M35" i="7"/>
  <c r="P34" i="7"/>
  <c r="O34" i="7"/>
  <c r="N34" i="7"/>
  <c r="M34" i="7"/>
  <c r="P33" i="7"/>
  <c r="O33" i="7"/>
  <c r="N33" i="7"/>
  <c r="M33" i="7"/>
  <c r="K42" i="7"/>
  <c r="J42" i="7"/>
  <c r="I42" i="7"/>
  <c r="H42" i="7"/>
  <c r="K41" i="7"/>
  <c r="J41" i="7"/>
  <c r="I41" i="7"/>
  <c r="H41" i="7"/>
  <c r="K40" i="7"/>
  <c r="J40" i="7"/>
  <c r="I40" i="7"/>
  <c r="H40" i="7"/>
  <c r="K39" i="7"/>
  <c r="J39" i="7"/>
  <c r="I39" i="7"/>
  <c r="H39" i="7"/>
  <c r="K38" i="7"/>
  <c r="J38" i="7"/>
  <c r="I38" i="7"/>
  <c r="H38" i="7"/>
  <c r="K37" i="7"/>
  <c r="J37" i="7"/>
  <c r="I37" i="7"/>
  <c r="H37" i="7"/>
  <c r="K36" i="7"/>
  <c r="J36" i="7"/>
  <c r="I36" i="7"/>
  <c r="H36" i="7"/>
  <c r="K35" i="7"/>
  <c r="J35" i="7"/>
  <c r="I35" i="7"/>
  <c r="H35" i="7"/>
  <c r="K34" i="7"/>
  <c r="J34" i="7"/>
  <c r="I34" i="7"/>
  <c r="H34" i="7"/>
  <c r="K33" i="7"/>
  <c r="J33" i="7"/>
  <c r="I33" i="7"/>
  <c r="H33" i="7"/>
  <c r="F34" i="7"/>
  <c r="F35" i="7"/>
  <c r="F36" i="7"/>
  <c r="F37" i="7"/>
  <c r="F38" i="7"/>
  <c r="F39" i="7"/>
  <c r="F40" i="7"/>
  <c r="F41" i="7"/>
  <c r="F42" i="7"/>
  <c r="F33" i="7"/>
  <c r="E34" i="7"/>
  <c r="E35" i="7"/>
  <c r="E36" i="7"/>
  <c r="E37" i="7"/>
  <c r="E38" i="7"/>
  <c r="E39" i="7"/>
  <c r="E40" i="7"/>
  <c r="E41" i="7"/>
  <c r="E42" i="7"/>
  <c r="E33" i="7"/>
  <c r="D34" i="7"/>
  <c r="D35" i="7"/>
  <c r="D36" i="7"/>
  <c r="D37" i="7"/>
  <c r="D38" i="7"/>
  <c r="D39" i="7"/>
  <c r="D40" i="7"/>
  <c r="D41" i="7"/>
  <c r="D42" i="7"/>
  <c r="D33" i="7"/>
  <c r="C34" i="7"/>
  <c r="C35" i="7"/>
  <c r="C36" i="7"/>
  <c r="C37" i="7"/>
  <c r="C38" i="7"/>
  <c r="C39" i="7"/>
  <c r="C40" i="7"/>
  <c r="C41" i="7"/>
  <c r="C42" i="7"/>
  <c r="C33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C47" i="7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C47" i="7"/>
  <c r="AD47" i="7"/>
  <c r="AE47" i="7"/>
  <c r="AF47" i="7"/>
  <c r="AG47" i="7"/>
  <c r="AH47" i="7"/>
  <c r="AI47" i="7"/>
  <c r="AJ47" i="7"/>
  <c r="AK47" i="7"/>
  <c r="AL47" i="7"/>
  <c r="AM47" i="7"/>
  <c r="AN47" i="7"/>
  <c r="AO47" i="7"/>
  <c r="AP47" i="7"/>
  <c r="AQ47" i="7"/>
  <c r="AR47" i="7"/>
  <c r="AS47" i="7"/>
  <c r="AT47" i="7"/>
  <c r="AU47" i="7"/>
  <c r="B47" i="7"/>
  <c r="D9" i="3"/>
  <c r="P9" i="3" s="1"/>
  <c r="D10" i="3"/>
  <c r="B52" i="3"/>
  <c r="B44" i="3"/>
  <c r="AA9" i="3" l="1"/>
  <c r="AB9" i="3"/>
  <c r="AC9" i="3"/>
  <c r="U9" i="3"/>
  <c r="V9" i="3"/>
  <c r="W9" i="3"/>
  <c r="N9" i="3"/>
  <c r="R9" i="3"/>
  <c r="R15" i="3" s="1"/>
  <c r="S9" i="3"/>
  <c r="S19" i="3" s="1"/>
  <c r="X9" i="3"/>
  <c r="X20" i="3" s="1"/>
  <c r="Z9" i="3"/>
  <c r="K9" i="3"/>
  <c r="T9" i="3"/>
  <c r="L9" i="3"/>
  <c r="M9" i="3"/>
  <c r="Y9" i="3"/>
  <c r="Y21" i="3" s="1"/>
  <c r="O9" i="3"/>
  <c r="Y26" i="7"/>
  <c r="AE26" i="7"/>
  <c r="AO26" i="7"/>
  <c r="O26" i="7"/>
  <c r="AG26" i="7"/>
  <c r="E26" i="7"/>
  <c r="S26" i="7"/>
  <c r="AK26" i="7"/>
  <c r="W26" i="7"/>
  <c r="AM26" i="7"/>
  <c r="K26" i="7"/>
  <c r="M26" i="7"/>
  <c r="AC26" i="7"/>
  <c r="G26" i="7"/>
  <c r="AA26" i="7"/>
  <c r="Q26" i="7"/>
  <c r="AI26" i="7"/>
  <c r="U17" i="7"/>
  <c r="U18" i="7" s="1"/>
  <c r="U26" i="7"/>
  <c r="C26" i="7"/>
  <c r="I26" i="7"/>
  <c r="Q17" i="7"/>
  <c r="Q18" i="7" s="1"/>
  <c r="N17" i="7"/>
  <c r="O17" i="7" s="1"/>
  <c r="O18" i="7" s="1"/>
  <c r="V17" i="7"/>
  <c r="E14" i="3"/>
  <c r="AD14" i="3" s="1"/>
  <c r="E15" i="3"/>
  <c r="AD15" i="3" s="1"/>
  <c r="E16" i="3"/>
  <c r="AD16" i="3" s="1"/>
  <c r="E17" i="3"/>
  <c r="AD17" i="3" s="1"/>
  <c r="E18" i="3"/>
  <c r="AD18" i="3" s="1"/>
  <c r="E19" i="3"/>
  <c r="AD19" i="3" s="1"/>
  <c r="E20" i="3"/>
  <c r="AD20" i="3" s="1"/>
  <c r="E21" i="3"/>
  <c r="AD21" i="3" s="1"/>
  <c r="E13" i="3"/>
  <c r="AD13" i="3" s="1"/>
  <c r="J6" i="7"/>
  <c r="J7" i="7"/>
  <c r="J8" i="7"/>
  <c r="J9" i="7"/>
  <c r="J10" i="7"/>
  <c r="J11" i="7"/>
  <c r="J12" i="7"/>
  <c r="J13" i="7"/>
  <c r="J5" i="7"/>
  <c r="R21" i="3" l="1"/>
  <c r="R12" i="3"/>
  <c r="R17" i="3"/>
  <c r="R19" i="3"/>
  <c r="R13" i="3"/>
  <c r="AD22" i="3"/>
  <c r="R14" i="3"/>
  <c r="AB17" i="3"/>
  <c r="AC17" i="3" s="1"/>
  <c r="AB14" i="3"/>
  <c r="AC14" i="3" s="1"/>
  <c r="AB19" i="3"/>
  <c r="AC19" i="3" s="1"/>
  <c r="AB16" i="3"/>
  <c r="AC16" i="3" s="1"/>
  <c r="AC13" i="3"/>
  <c r="AB12" i="3"/>
  <c r="AB21" i="3"/>
  <c r="AB13" i="3"/>
  <c r="AB18" i="3"/>
  <c r="AC18" i="3" s="1"/>
  <c r="AB20" i="3"/>
  <c r="AC20" i="3" s="1"/>
  <c r="AB15" i="3"/>
  <c r="T19" i="3"/>
  <c r="AA20" i="3"/>
  <c r="AA12" i="3"/>
  <c r="AC12" i="3" s="1"/>
  <c r="AA17" i="3"/>
  <c r="AA15" i="3"/>
  <c r="AC15" i="3" s="1"/>
  <c r="AA14" i="3"/>
  <c r="AA19" i="3"/>
  <c r="AA16" i="3"/>
  <c r="AA21" i="3"/>
  <c r="AC21" i="3" s="1"/>
  <c r="AA13" i="3"/>
  <c r="AA18" i="3"/>
  <c r="R18" i="3"/>
  <c r="X18" i="3"/>
  <c r="X19" i="3"/>
  <c r="X16" i="3"/>
  <c r="X17" i="3"/>
  <c r="R20" i="3"/>
  <c r="V16" i="3"/>
  <c r="W16" i="3" s="1"/>
  <c r="V21" i="3"/>
  <c r="W21" i="3" s="1"/>
  <c r="V13" i="3"/>
  <c r="W13" i="3" s="1"/>
  <c r="V18" i="3"/>
  <c r="V17" i="3"/>
  <c r="V19" i="3"/>
  <c r="V15" i="3"/>
  <c r="W15" i="3" s="1"/>
  <c r="V14" i="3"/>
  <c r="W14" i="3" s="1"/>
  <c r="V20" i="3"/>
  <c r="W20" i="3" s="1"/>
  <c r="V12" i="3"/>
  <c r="U19" i="3"/>
  <c r="U16" i="3"/>
  <c r="U21" i="3"/>
  <c r="U13" i="3"/>
  <c r="U12" i="3"/>
  <c r="W12" i="3" s="1"/>
  <c r="U18" i="3"/>
  <c r="W18" i="3" s="1"/>
  <c r="U20" i="3"/>
  <c r="U14" i="3"/>
  <c r="U15" i="3"/>
  <c r="U17" i="3"/>
  <c r="W17" i="3" s="1"/>
  <c r="H19" i="3"/>
  <c r="I19" i="3"/>
  <c r="H18" i="3"/>
  <c r="I18" i="3"/>
  <c r="S17" i="3"/>
  <c r="T17" i="3" s="1"/>
  <c r="F17" i="3"/>
  <c r="AF17" i="3" s="1"/>
  <c r="I17" i="3"/>
  <c r="S18" i="3"/>
  <c r="H21" i="3"/>
  <c r="I21" i="3"/>
  <c r="S16" i="3"/>
  <c r="H15" i="3"/>
  <c r="I15" i="3"/>
  <c r="R16" i="3"/>
  <c r="H16" i="3"/>
  <c r="I16" i="3"/>
  <c r="H13" i="3"/>
  <c r="I13" i="3"/>
  <c r="AG13" i="3" s="1"/>
  <c r="H14" i="3"/>
  <c r="I14" i="3"/>
  <c r="F20" i="3"/>
  <c r="AF20" i="3" s="1"/>
  <c r="I20" i="3"/>
  <c r="AG20" i="3" s="1"/>
  <c r="AG22" i="3" s="1"/>
  <c r="C54" i="3" s="1"/>
  <c r="X15" i="3"/>
  <c r="S14" i="3"/>
  <c r="X14" i="3"/>
  <c r="S21" i="3"/>
  <c r="T21" i="3" s="1"/>
  <c r="X13" i="3"/>
  <c r="S12" i="3"/>
  <c r="T12" i="3" s="1"/>
  <c r="X12" i="3"/>
  <c r="S13" i="3"/>
  <c r="T13" i="3" s="1"/>
  <c r="S15" i="3"/>
  <c r="T15" i="3" s="1"/>
  <c r="X21" i="3"/>
  <c r="Z21" i="3" s="1"/>
  <c r="S20" i="3"/>
  <c r="T20" i="3" s="1"/>
  <c r="Y20" i="3"/>
  <c r="Z20" i="3" s="1"/>
  <c r="Y18" i="3"/>
  <c r="Y19" i="3"/>
  <c r="Z19" i="3" s="1"/>
  <c r="Y12" i="3"/>
  <c r="Y15" i="3"/>
  <c r="Z15" i="3" s="1"/>
  <c r="Y16" i="3"/>
  <c r="Y14" i="3"/>
  <c r="Y17" i="3"/>
  <c r="Z17" i="3" s="1"/>
  <c r="Y13" i="3"/>
  <c r="V18" i="7"/>
  <c r="W17" i="7"/>
  <c r="W18" i="7" s="1"/>
  <c r="L17" i="7"/>
  <c r="M17" i="7" s="1"/>
  <c r="M18" i="7" s="1"/>
  <c r="N18" i="7"/>
  <c r="X17" i="7"/>
  <c r="F18" i="3"/>
  <c r="AF18" i="3" s="1"/>
  <c r="F19" i="3"/>
  <c r="AF19" i="3" s="1"/>
  <c r="H20" i="3"/>
  <c r="F16" i="3"/>
  <c r="AF16" i="3" s="1"/>
  <c r="H17" i="3"/>
  <c r="E22" i="3"/>
  <c r="F15" i="3"/>
  <c r="AF15" i="3" s="1"/>
  <c r="F13" i="3"/>
  <c r="AF13" i="3" s="1"/>
  <c r="F14" i="3"/>
  <c r="AF14" i="3" s="1"/>
  <c r="F21" i="3"/>
  <c r="AF21" i="3" s="1"/>
  <c r="Z18" i="3" l="1"/>
  <c r="AF22" i="3"/>
  <c r="T14" i="3"/>
  <c r="T18" i="3"/>
  <c r="W19" i="3"/>
  <c r="Z14" i="3"/>
  <c r="Z16" i="3"/>
  <c r="T16" i="3"/>
  <c r="I22" i="3"/>
  <c r="Z13" i="3"/>
  <c r="Z12" i="3"/>
  <c r="X18" i="7"/>
  <c r="Y17" i="7"/>
  <c r="Y18" i="7" s="1"/>
  <c r="L18" i="7"/>
  <c r="J17" i="7"/>
  <c r="K17" i="7" s="1"/>
  <c r="K18" i="7" s="1"/>
  <c r="Z17" i="7"/>
  <c r="AA17" i="7" s="1"/>
  <c r="AA18" i="7" s="1"/>
  <c r="H22" i="3"/>
  <c r="F22" i="3"/>
  <c r="W10" i="3" l="1"/>
  <c r="AC10" i="3"/>
  <c r="AB10" i="3"/>
  <c r="AB22" i="3" s="1"/>
  <c r="AA10" i="3"/>
  <c r="AA22" i="3" s="1"/>
  <c r="B27" i="3"/>
  <c r="B28" i="3" s="1"/>
  <c r="B48" i="3" s="1"/>
  <c r="C27" i="3"/>
  <c r="C28" i="3" s="1"/>
  <c r="C48" i="3" s="1"/>
  <c r="B54" i="3"/>
  <c r="J17" i="3"/>
  <c r="C26" i="3"/>
  <c r="U10" i="3"/>
  <c r="U22" i="3" s="1"/>
  <c r="V10" i="3"/>
  <c r="V22" i="3" s="1"/>
  <c r="J13" i="3"/>
  <c r="J16" i="3"/>
  <c r="J20" i="3"/>
  <c r="J18" i="3"/>
  <c r="J14" i="3"/>
  <c r="J19" i="3"/>
  <c r="J15" i="3"/>
  <c r="J21" i="3"/>
  <c r="J18" i="7"/>
  <c r="H17" i="7"/>
  <c r="I17" i="7" s="1"/>
  <c r="I18" i="7" s="1"/>
  <c r="AB17" i="7"/>
  <c r="AC17" i="7" s="1"/>
  <c r="AC18" i="7" s="1"/>
  <c r="Z18" i="7"/>
  <c r="G20" i="3"/>
  <c r="AE20" i="3" s="1"/>
  <c r="G17" i="3"/>
  <c r="AE17" i="3" s="1"/>
  <c r="G16" i="3"/>
  <c r="AE16" i="3" s="1"/>
  <c r="G21" i="3"/>
  <c r="AE21" i="3" s="1"/>
  <c r="G18" i="3"/>
  <c r="AE18" i="3" s="1"/>
  <c r="G14" i="3"/>
  <c r="AE14" i="3" s="1"/>
  <c r="G15" i="3"/>
  <c r="AE15" i="3" s="1"/>
  <c r="G13" i="3"/>
  <c r="AE13" i="3" s="1"/>
  <c r="G19" i="3"/>
  <c r="AE19" i="3" s="1"/>
  <c r="B26" i="3"/>
  <c r="B37" i="3" s="1"/>
  <c r="Z10" i="3"/>
  <c r="R10" i="3"/>
  <c r="R22" i="3" s="1"/>
  <c r="Y10" i="3"/>
  <c r="Y22" i="3" s="1"/>
  <c r="T10" i="3"/>
  <c r="X10" i="3"/>
  <c r="X22" i="3" s="1"/>
  <c r="S10" i="3"/>
  <c r="S22" i="3" s="1"/>
  <c r="AE22" i="3" l="1"/>
  <c r="C49" i="3" s="1"/>
  <c r="AC22" i="3"/>
  <c r="C32" i="3" s="1"/>
  <c r="C37" i="3"/>
  <c r="C41" i="3" s="1"/>
  <c r="W22" i="3"/>
  <c r="C31" i="3" s="1"/>
  <c r="J22" i="3"/>
  <c r="T22" i="3"/>
  <c r="Z22" i="3"/>
  <c r="H18" i="7"/>
  <c r="F17" i="7"/>
  <c r="G17" i="7" s="1"/>
  <c r="G18" i="7" s="1"/>
  <c r="AB18" i="7"/>
  <c r="AD17" i="7"/>
  <c r="AE17" i="7" s="1"/>
  <c r="AE18" i="7" s="1"/>
  <c r="G22" i="3"/>
  <c r="B22" i="3"/>
  <c r="C33" i="3" l="1"/>
  <c r="B32" i="3"/>
  <c r="B49" i="3"/>
  <c r="F18" i="7"/>
  <c r="D17" i="7"/>
  <c r="E17" i="7" s="1"/>
  <c r="E18" i="7" s="1"/>
  <c r="AD18" i="7"/>
  <c r="AF17" i="7"/>
  <c r="AG17" i="7" l="1"/>
  <c r="AG18" i="7" s="1"/>
  <c r="K17" i="3"/>
  <c r="N17" i="3" s="1"/>
  <c r="K14" i="3"/>
  <c r="L15" i="3"/>
  <c r="L20" i="3"/>
  <c r="K21" i="3"/>
  <c r="N21" i="3" s="1"/>
  <c r="K13" i="3"/>
  <c r="N13" i="3" s="1"/>
  <c r="L16" i="3"/>
  <c r="L19" i="3"/>
  <c r="L21" i="3"/>
  <c r="K20" i="3"/>
  <c r="N20" i="3" s="1"/>
  <c r="K16" i="3"/>
  <c r="N16" i="3" s="1"/>
  <c r="L18" i="3"/>
  <c r="L13" i="3"/>
  <c r="K19" i="3"/>
  <c r="N19" i="3" s="1"/>
  <c r="K15" i="3"/>
  <c r="N15" i="3" s="1"/>
  <c r="L17" i="3"/>
  <c r="L14" i="3"/>
  <c r="K18" i="3"/>
  <c r="N18" i="3" s="1"/>
  <c r="D18" i="7"/>
  <c r="B17" i="7"/>
  <c r="AF18" i="7"/>
  <c r="AH17" i="7"/>
  <c r="AI17" i="7" s="1"/>
  <c r="AI18" i="7" s="1"/>
  <c r="B31" i="3"/>
  <c r="B33" i="3" s="1"/>
  <c r="B41" i="3"/>
  <c r="M13" i="3" l="1"/>
  <c r="O13" i="3"/>
  <c r="B18" i="7"/>
  <c r="C17" i="7"/>
  <c r="C18" i="7" s="1"/>
  <c r="M18" i="3"/>
  <c r="P18" i="3" s="1"/>
  <c r="O18" i="3"/>
  <c r="M20" i="3"/>
  <c r="P20" i="3" s="1"/>
  <c r="O20" i="3"/>
  <c r="M15" i="3"/>
  <c r="P15" i="3" s="1"/>
  <c r="O15" i="3"/>
  <c r="K22" i="3"/>
  <c r="N14" i="3"/>
  <c r="N22" i="3" s="1"/>
  <c r="L22" i="3"/>
  <c r="M14" i="3"/>
  <c r="P14" i="3" s="1"/>
  <c r="O14" i="3"/>
  <c r="M21" i="3"/>
  <c r="P21" i="3" s="1"/>
  <c r="O21" i="3"/>
  <c r="M16" i="3"/>
  <c r="P16" i="3" s="1"/>
  <c r="O16" i="3"/>
  <c r="M17" i="3"/>
  <c r="P17" i="3" s="1"/>
  <c r="O17" i="3"/>
  <c r="M19" i="3"/>
  <c r="P19" i="3" s="1"/>
  <c r="O19" i="3"/>
  <c r="AH18" i="7"/>
  <c r="AJ17" i="7"/>
  <c r="AK17" i="7" s="1"/>
  <c r="AK18" i="7" s="1"/>
  <c r="K24" i="3" l="1"/>
  <c r="O22" i="3"/>
  <c r="N24" i="3" s="1"/>
  <c r="P13" i="3"/>
  <c r="P22" i="3" s="1"/>
  <c r="M22" i="3"/>
  <c r="AL17" i="7"/>
  <c r="AM17" i="7" s="1"/>
  <c r="AM18" i="7" s="1"/>
  <c r="AJ18" i="7"/>
  <c r="B30" i="3" l="1"/>
  <c r="B35" i="3" s="1"/>
  <c r="B51" i="3" s="1"/>
  <c r="B53" i="3" s="1"/>
  <c r="B55" i="3" s="1"/>
  <c r="C30" i="3"/>
  <c r="C35" i="3" s="1"/>
  <c r="AL18" i="7"/>
  <c r="AN17" i="7"/>
  <c r="AO17" i="7" s="1"/>
  <c r="AO18" i="7" s="1"/>
  <c r="B36" i="3" l="1"/>
  <c r="B45" i="3" s="1"/>
  <c r="B46" i="3" s="1"/>
  <c r="B50" i="3"/>
  <c r="C50" i="3"/>
  <c r="C51" i="3"/>
  <c r="C53" i="3" s="1"/>
  <c r="C55" i="3" s="1"/>
  <c r="C36" i="3"/>
  <c r="AN18" i="7"/>
  <c r="AP17" i="7"/>
  <c r="AP18" i="7" s="1"/>
  <c r="B39" i="3" l="1"/>
  <c r="B29" i="3" s="1"/>
  <c r="B40" i="3"/>
  <c r="C40" i="3"/>
  <c r="C39" i="3"/>
  <c r="C45" i="3"/>
  <c r="C46" i="3" s="1"/>
  <c r="B42" i="3" l="1"/>
  <c r="C42" i="3"/>
  <c r="C29" i="3"/>
</calcChain>
</file>

<file path=xl/sharedStrings.xml><?xml version="1.0" encoding="utf-8"?>
<sst xmlns="http://schemas.openxmlformats.org/spreadsheetml/2006/main" count="340" uniqueCount="151">
  <si>
    <t>SUM</t>
  </si>
  <si>
    <t>Temperature Liquid [°C]</t>
  </si>
  <si>
    <t>Temperature Vapour [°C]</t>
  </si>
  <si>
    <t>Absolute Pressue [kPaA]</t>
  </si>
  <si>
    <t>Parameter</t>
  </si>
  <si>
    <t>Vapour weight [t]</t>
  </si>
  <si>
    <r>
      <t>Molecular weight [g·mol</t>
    </r>
    <r>
      <rPr>
        <vertAlign val="superscript"/>
        <sz val="10"/>
        <color rgb="FF381C19"/>
        <rFont val="Arial"/>
        <family val="2"/>
        <charset val="238"/>
      </rPr>
      <t>−1</t>
    </r>
    <r>
      <rPr>
        <sz val="10"/>
        <color rgb="FF381C19"/>
        <rFont val="Arial"/>
        <family val="2"/>
        <charset val="238"/>
      </rPr>
      <t>]</t>
    </r>
  </si>
  <si>
    <r>
      <t>Vapour volume if liquefied [m</t>
    </r>
    <r>
      <rPr>
        <vertAlign val="superscript"/>
        <sz val="10"/>
        <color rgb="FF381C19"/>
        <rFont val="Arial"/>
        <family val="2"/>
        <charset val="238"/>
      </rPr>
      <t>3</t>
    </r>
    <r>
      <rPr>
        <sz val="10"/>
        <color rgb="FF381C19"/>
        <rFont val="Arial"/>
        <family val="2"/>
        <charset val="238"/>
      </rPr>
      <t>]</t>
    </r>
  </si>
  <si>
    <r>
      <t>Vapour density  [t/m</t>
    </r>
    <r>
      <rPr>
        <vertAlign val="superscript"/>
        <sz val="10"/>
        <color rgb="FF381C19"/>
        <rFont val="Arial"/>
        <family val="2"/>
        <charset val="238"/>
      </rPr>
      <t>3</t>
    </r>
    <r>
      <rPr>
        <sz val="10"/>
        <color rgb="FF381C19"/>
        <rFont val="Arial"/>
        <family val="2"/>
        <charset val="238"/>
      </rPr>
      <t>]</t>
    </r>
  </si>
  <si>
    <r>
      <t>100% Volume (Gross Capacity) [m</t>
    </r>
    <r>
      <rPr>
        <vertAlign val="superscript"/>
        <sz val="10"/>
        <color rgb="FF381C19"/>
        <rFont val="Arial"/>
        <family val="2"/>
        <charset val="161"/>
      </rPr>
      <t>3</t>
    </r>
    <r>
      <rPr>
        <sz val="10"/>
        <color rgb="FF381C19"/>
        <rFont val="Arial"/>
        <family val="2"/>
        <charset val="238"/>
      </rPr>
      <t>]</t>
    </r>
  </si>
  <si>
    <r>
      <t>Liquid Volume [m</t>
    </r>
    <r>
      <rPr>
        <vertAlign val="superscript"/>
        <sz val="10"/>
        <color rgb="FF381C19"/>
        <rFont val="Arial"/>
        <family val="2"/>
        <charset val="161"/>
      </rPr>
      <t>3</t>
    </r>
    <r>
      <rPr>
        <sz val="10"/>
        <color rgb="FF381C19"/>
        <rFont val="Arial"/>
        <family val="2"/>
        <charset val="238"/>
      </rPr>
      <t>]</t>
    </r>
  </si>
  <si>
    <t>Methane [Mol %]</t>
  </si>
  <si>
    <t>Ethane [Mol %]</t>
  </si>
  <si>
    <t>Propane [Mol %]</t>
  </si>
  <si>
    <t>Iso-Butane [Mol %]</t>
  </si>
  <si>
    <t>N-Butane [Mol %]</t>
  </si>
  <si>
    <t>Iso-Pentane [Mol %]</t>
  </si>
  <si>
    <t>N-Pentane [Mol %]</t>
  </si>
  <si>
    <t>Hexane [Mol %]</t>
  </si>
  <si>
    <t>Nitrogen [Mol %]</t>
  </si>
  <si>
    <t>Temperature  [°C]</t>
  </si>
  <si>
    <t>Methane</t>
  </si>
  <si>
    <t>Ethane</t>
  </si>
  <si>
    <t>Propane</t>
  </si>
  <si>
    <t>Iso-Butane</t>
  </si>
  <si>
    <t>N-Butane</t>
  </si>
  <si>
    <t>Iso-Pentane</t>
  </si>
  <si>
    <t>N-Pentane</t>
  </si>
  <si>
    <t>Hexane</t>
  </si>
  <si>
    <t>Nitrogen</t>
  </si>
  <si>
    <t xml:space="preserve">Summation Factor 
(1-Z)^(1/2) @101,325 </t>
  </si>
  <si>
    <t>Boling point in °K
@101,325 kPaA</t>
  </si>
  <si>
    <t>Boling point in °C
@101,325 kPaA</t>
  </si>
  <si>
    <t>Gross Caloric Value
on Mass MJ/kg</t>
  </si>
  <si>
    <t>Gross Caloric Value
on Volume MJ/m3</t>
  </si>
  <si>
    <t>Molar Volume 
Vi/kmol</t>
  </si>
  <si>
    <t>Correction factor k1
m3/kmol</t>
  </si>
  <si>
    <t>Molar Mass of Mixture</t>
  </si>
  <si>
    <t>Correction factor k2
m3/kmol</t>
  </si>
  <si>
    <t>Compression Factor Zmix</t>
  </si>
  <si>
    <t xml:space="preserve"> INSERT DATA </t>
  </si>
  <si>
    <t>LNG</t>
  </si>
  <si>
    <t>Each loading terminal should provide own quality report for each load. This values are for reference only.</t>
  </si>
  <si>
    <t>Value</t>
  </si>
  <si>
    <t>STANDARD</t>
  </si>
  <si>
    <t>Trinidad &amp; Tobago</t>
  </si>
  <si>
    <t>Temperature °C</t>
  </si>
  <si>
    <t>-159,1</t>
  </si>
  <si>
    <t>Methane Mol %</t>
  </si>
  <si>
    <t>91.226</t>
  </si>
  <si>
    <t>Ethane Mol %</t>
  </si>
  <si>
    <t>Propane Mol %</t>
  </si>
  <si>
    <t>Iso-Butane Mol %</t>
  </si>
  <si>
    <t>N-Butane Mol %</t>
  </si>
  <si>
    <t>included above</t>
  </si>
  <si>
    <t>Iso-Pentane Mol %</t>
  </si>
  <si>
    <t>N-Pentane Mol %</t>
  </si>
  <si>
    <t>Hexane and heavier Mol %</t>
  </si>
  <si>
    <t>Nitrogen Mol %</t>
  </si>
  <si>
    <t>Carbon Dioxide Mol %</t>
  </si>
  <si>
    <t>&lt;0,0010 mol%</t>
  </si>
  <si>
    <t xml:space="preserve">Sulphur </t>
  </si>
  <si>
    <t>&lt;0.01 grains/100scf</t>
  </si>
  <si>
    <t>&lt;0.8 mg/sm3</t>
  </si>
  <si>
    <t>1.052 mg/Nm3</t>
  </si>
  <si>
    <t>0.6094 mg/Nm3</t>
  </si>
  <si>
    <t>&lt;5 ppm</t>
  </si>
  <si>
    <t>0.05 mg/nm3</t>
  </si>
  <si>
    <t>&lt;1 mg/m3</t>
  </si>
  <si>
    <t>&lt;0.5 mg/Sm3</t>
  </si>
  <si>
    <t>Hydrogen Sulfide</t>
  </si>
  <si>
    <t>&lt;0.7 mg/sm3</t>
  </si>
  <si>
    <t>&lt;0.1 mg/Nm3</t>
  </si>
  <si>
    <t>&lt;0.1 ppm</t>
  </si>
  <si>
    <t>&lt;0.1 mg/Sm3</t>
  </si>
  <si>
    <t>&lt;0.6 mg/Sm3</t>
  </si>
  <si>
    <t>Mercury grains</t>
  </si>
  <si>
    <t>&lt;0.01nm/sm3</t>
  </si>
  <si>
    <t>&lt;0.1 ng/Nm3</t>
  </si>
  <si>
    <t>0.54 ng/nm3</t>
  </si>
  <si>
    <t>&lt;1 ng/m3</t>
  </si>
  <si>
    <t>Density mt/m3 at loaded temperature</t>
  </si>
  <si>
    <t>Gross Heating Value btu/scf</t>
  </si>
  <si>
    <t>Xi</t>
  </si>
  <si>
    <t>Xi*Mi</t>
  </si>
  <si>
    <t>Xi(1-Zi)^(1/2)</t>
  </si>
  <si>
    <t>Equivalent Volume</t>
  </si>
  <si>
    <t>Vi</t>
  </si>
  <si>
    <t>Xi*Vi</t>
  </si>
  <si>
    <t>K1</t>
  </si>
  <si>
    <t>K2</t>
  </si>
  <si>
    <t>Molar Volume Xi·Vi</t>
  </si>
  <si>
    <t>Xi·(1-Zi)^(1/2)</t>
  </si>
  <si>
    <t>Faktor K1</t>
  </si>
  <si>
    <t>Faktor K2</t>
  </si>
  <si>
    <t>Reduction in volume Vc</t>
  </si>
  <si>
    <t>XiHs,Vi</t>
  </si>
  <si>
    <t>Xi*Mi / Sum(xi*Mi)</t>
  </si>
  <si>
    <t>Hs*XiMi/Sum(XiMi)</t>
  </si>
  <si>
    <t>Xi*Mi*Hi</t>
  </si>
  <si>
    <t>Hv [BTU/SCF]</t>
  </si>
  <si>
    <t>Liquid weight  [t]</t>
  </si>
  <si>
    <r>
      <t>Liquid density [kg/m</t>
    </r>
    <r>
      <rPr>
        <vertAlign val="superscript"/>
        <sz val="10"/>
        <color rgb="FF381C19"/>
        <rFont val="Arial"/>
        <family val="2"/>
        <charset val="238"/>
      </rPr>
      <t>3</t>
    </r>
    <r>
      <rPr>
        <sz val="10"/>
        <color rgb="FF381C19"/>
        <rFont val="Arial"/>
        <family val="2"/>
        <charset val="238"/>
      </rPr>
      <t>] *</t>
    </r>
  </si>
  <si>
    <r>
      <t>Liquid density [t/m</t>
    </r>
    <r>
      <rPr>
        <vertAlign val="superscript"/>
        <sz val="10"/>
        <color rgb="FF381C19"/>
        <rFont val="Arial"/>
        <family val="2"/>
        <charset val="238"/>
      </rPr>
      <t>3</t>
    </r>
    <r>
      <rPr>
        <sz val="10"/>
        <color rgb="FF381C19"/>
        <rFont val="Arial"/>
        <family val="2"/>
        <charset val="238"/>
      </rPr>
      <t>]</t>
    </r>
  </si>
  <si>
    <t>LNG CALCULATIONS</t>
  </si>
  <si>
    <t>Vapour volume [m3]</t>
  </si>
  <si>
    <t>Displaced Vapour [MMBTU]</t>
  </si>
  <si>
    <t>CV [MMBTU/m3]</t>
  </si>
  <si>
    <r>
      <t>Transfered Volume [m</t>
    </r>
    <r>
      <rPr>
        <vertAlign val="superscript"/>
        <sz val="10"/>
        <color rgb="FF381C19"/>
        <rFont val="Arial"/>
        <family val="2"/>
        <charset val="161"/>
      </rPr>
      <t>3</t>
    </r>
    <r>
      <rPr>
        <sz val="10"/>
        <color rgb="FF381C19"/>
        <rFont val="Arial"/>
        <family val="2"/>
        <charset val="238"/>
      </rPr>
      <t>]</t>
    </r>
  </si>
  <si>
    <t>Transfered weight  [t]</t>
  </si>
  <si>
    <t>Total Liquid + Vapour weight [t]</t>
  </si>
  <si>
    <t>Gross Energy Transfered [MMBTU]</t>
  </si>
  <si>
    <t>Net Energy Transfered [MMBTU]</t>
  </si>
  <si>
    <t>Gross Energy of Liquid on board [MMBTU]</t>
  </si>
  <si>
    <t>Enter Value</t>
  </si>
  <si>
    <t>USA 
Corpus Chriti</t>
  </si>
  <si>
    <t>USA 
Cameron</t>
  </si>
  <si>
    <t>USA
Calcasieu Pass</t>
  </si>
  <si>
    <t>USA
 Cove Point</t>
  </si>
  <si>
    <t>USA
 Sabine Pass</t>
  </si>
  <si>
    <t>Norway 
Hammerfest</t>
  </si>
  <si>
    <t>Spain 
Huelva</t>
  </si>
  <si>
    <t>Algeria 
 Arzew</t>
  </si>
  <si>
    <t>Oman
 Qalhat</t>
  </si>
  <si>
    <t>Qatar 
Ras Laffan</t>
  </si>
  <si>
    <t>Egypt
 Idku</t>
  </si>
  <si>
    <t>Nigeria
 Bonny</t>
  </si>
  <si>
    <t>Malaysia
 Bintulu</t>
  </si>
  <si>
    <t>Australia
 Darwin</t>
  </si>
  <si>
    <t>Australia
 Gladstone</t>
  </si>
  <si>
    <t>Australia
 Gorgon - Barrow Island</t>
  </si>
  <si>
    <t>Australia
 Dampier - Pluto</t>
  </si>
  <si>
    <t xml:space="preserve"> CALCULATION'S RESULTS *</t>
  </si>
  <si>
    <t>Temperature  [°K]</t>
  </si>
  <si>
    <t>°K</t>
  </si>
  <si>
    <t xml:space="preserve">TABLES - ISO 6578:2017 &amp; ISO 6976:2016 &amp; Robert McCarty </t>
  </si>
  <si>
    <t>u (Hc)</t>
  </si>
  <si>
    <t>Critical Temperature 
 °K</t>
  </si>
  <si>
    <t>Critical Temperature 
 °C</t>
  </si>
  <si>
    <t>Acentric factor
 wi</t>
  </si>
  <si>
    <t>Characteristic Volume
 m3/kmol</t>
  </si>
  <si>
    <t>Molar Mass ISO
kg/mol</t>
  </si>
  <si>
    <t>Molar Weight McCarty
kg/mol</t>
  </si>
  <si>
    <t>ISO</t>
  </si>
  <si>
    <t>McCarty</t>
  </si>
  <si>
    <t>ISO 6578:2017</t>
  </si>
  <si>
    <t>Gross Caloric Value
on Mol kJ/mol-1</t>
  </si>
  <si>
    <t>Volumetric Gross Calorific Value [MJ/m3]</t>
  </si>
  <si>
    <t>Mass Gross Calorific Value [MJ/kg]</t>
  </si>
  <si>
    <r>
      <t>Total Liquid + Vapour  expressed in volume [m</t>
    </r>
    <r>
      <rPr>
        <vertAlign val="superscript"/>
        <sz val="10"/>
        <color rgb="FF381C19"/>
        <rFont val="Arial"/>
        <family val="2"/>
        <charset val="238"/>
      </rPr>
      <t>3</t>
    </r>
    <r>
      <rPr>
        <sz val="10"/>
        <color rgb="FF381C19"/>
        <rFont val="Arial"/>
        <family val="2"/>
        <charset val="238"/>
      </rPr>
      <t>]</t>
    </r>
  </si>
  <si>
    <t>Examples of LNG compositions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</si>
</sst>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.0000"/>
    <numFmt numFmtId="166" formatCode="0.0"/>
    <numFmt numFmtId="167" formatCode="#,##0.000"/>
    <numFmt numFmtId="168" formatCode="#,##0.00000"/>
    <numFmt numFmtId="169" formatCode="#,##0.00000000"/>
    <numFmt numFmtId="170" formatCode="#,##0.0000"/>
  </numFmts>
  <fonts count="13" x14ac:knownFonts="1">
    <font>
      <sz val="10"/>
      <name val="Arial"/>
      <family val="2"/>
      <charset val="238"/>
    </font>
    <font>
      <sz val="10"/>
      <color rgb="FF381C19"/>
      <name val="Arial"/>
      <family val="2"/>
      <charset val="238"/>
    </font>
    <font>
      <b/>
      <sz val="14"/>
      <color rgb="FF055B87"/>
      <name val="Arial"/>
      <family val="2"/>
      <charset val="238"/>
    </font>
    <font>
      <sz val="16"/>
      <color rgb="FF381C19"/>
      <name val="Arial"/>
      <family val="2"/>
      <charset val="238"/>
    </font>
    <font>
      <sz val="10"/>
      <color rgb="FFD2382A"/>
      <name val="Arial"/>
      <family val="2"/>
      <charset val="238"/>
    </font>
    <font>
      <b/>
      <sz val="10"/>
      <color rgb="FF006C69"/>
      <name val="Arial"/>
      <family val="2"/>
      <charset val="238"/>
    </font>
    <font>
      <b/>
      <sz val="10"/>
      <color rgb="FF381C19"/>
      <name val="Arial"/>
      <family val="2"/>
      <charset val="238"/>
    </font>
    <font>
      <vertAlign val="superscript"/>
      <sz val="10"/>
      <color rgb="FF381C19"/>
      <name val="Arial"/>
      <family val="2"/>
      <charset val="238"/>
    </font>
    <font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vertAlign val="superscript"/>
      <sz val="10"/>
      <color rgb="FF381C19"/>
      <name val="Arial"/>
      <family val="2"/>
      <charset val="161"/>
    </font>
    <font>
      <b/>
      <sz val="10"/>
      <color rgb="FFD2382A"/>
      <name val="Arial"/>
      <family val="2"/>
      <charset val="238"/>
    </font>
    <font>
      <sz val="14"/>
      <color rgb="FF055B87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9" fillId="0" borderId="0" xfId="1" applyAlignment="1" applyProtection="1">
      <alignment horizontal="left"/>
    </xf>
    <xf numFmtId="164" fontId="4" fillId="0" borderId="9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6" fontId="1" fillId="0" borderId="4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166" fontId="1" fillId="0" borderId="18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8" fontId="6" fillId="0" borderId="3" xfId="0" applyNumberFormat="1" applyFont="1" applyBorder="1" applyAlignment="1">
      <alignment horizontal="center"/>
    </xf>
    <xf numFmtId="169" fontId="6" fillId="0" borderId="3" xfId="0" applyNumberFormat="1" applyFont="1" applyBorder="1" applyAlignment="1">
      <alignment horizontal="center"/>
    </xf>
    <xf numFmtId="170" fontId="6" fillId="0" borderId="3" xfId="0" applyNumberFormat="1" applyFont="1" applyBorder="1" applyAlignment="1">
      <alignment horizontal="center"/>
    </xf>
    <xf numFmtId="170" fontId="6" fillId="0" borderId="19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 wrapText="1"/>
    </xf>
    <xf numFmtId="164" fontId="4" fillId="0" borderId="9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164" fontId="4" fillId="0" borderId="16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1" fillId="0" borderId="20" xfId="0" quotePrefix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8" fontId="5" fillId="0" borderId="2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4" fillId="0" borderId="22" xfId="0" applyNumberFormat="1" applyFont="1" applyBorder="1" applyAlignment="1">
      <alignment horizontal="center" wrapText="1"/>
    </xf>
    <xf numFmtId="167" fontId="5" fillId="0" borderId="2" xfId="0" applyNumberFormat="1" applyFont="1" applyBorder="1" applyAlignment="1">
      <alignment horizontal="center"/>
    </xf>
    <xf numFmtId="167" fontId="5" fillId="0" borderId="14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9" fontId="6" fillId="0" borderId="13" xfId="0" applyNumberFormat="1" applyFont="1" applyBorder="1" applyAlignment="1">
      <alignment horizontal="center"/>
    </xf>
    <xf numFmtId="168" fontId="1" fillId="0" borderId="0" xfId="0" applyNumberFormat="1" applyFont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169" fontId="6" fillId="0" borderId="23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8" fontId="6" fillId="0" borderId="14" xfId="0" applyNumberFormat="1" applyFont="1" applyBorder="1" applyAlignment="1">
      <alignment horizontal="center"/>
    </xf>
    <xf numFmtId="169" fontId="6" fillId="0" borderId="14" xfId="0" applyNumberFormat="1" applyFont="1" applyBorder="1" applyAlignment="1">
      <alignment horizontal="center"/>
    </xf>
    <xf numFmtId="170" fontId="6" fillId="0" borderId="14" xfId="0" applyNumberFormat="1" applyFont="1" applyBorder="1" applyAlignment="1">
      <alignment horizontal="center"/>
    </xf>
    <xf numFmtId="170" fontId="6" fillId="0" borderId="24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2" fontId="5" fillId="0" borderId="14" xfId="0" applyNumberFormat="1" applyFont="1" applyBorder="1" applyAlignment="1" applyProtection="1">
      <alignment horizontal="center"/>
      <protection locked="0"/>
    </xf>
    <xf numFmtId="2" fontId="5" fillId="0" borderId="25" xfId="0" applyNumberFormat="1" applyFont="1" applyBorder="1" applyAlignment="1" applyProtection="1">
      <alignment horizontal="center"/>
      <protection locked="0"/>
    </xf>
    <xf numFmtId="2" fontId="6" fillId="0" borderId="17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4" fillId="0" borderId="27" xfId="0" applyNumberFormat="1" applyFont="1" applyBorder="1" applyAlignment="1">
      <alignment horizontal="center"/>
    </xf>
    <xf numFmtId="164" fontId="4" fillId="0" borderId="29" xfId="0" applyNumberFormat="1" applyFont="1" applyBorder="1" applyAlignment="1">
      <alignment horizontal="center"/>
    </xf>
    <xf numFmtId="167" fontId="5" fillId="0" borderId="20" xfId="0" applyNumberFormat="1" applyFont="1" applyBorder="1" applyAlignment="1" applyProtection="1">
      <alignment horizontal="center"/>
      <protection locked="0"/>
    </xf>
    <xf numFmtId="167" fontId="5" fillId="0" borderId="28" xfId="0" applyNumberFormat="1" applyFont="1" applyBorder="1" applyAlignment="1" applyProtection="1">
      <alignment horizontal="center"/>
      <protection locked="0"/>
    </xf>
    <xf numFmtId="167" fontId="5" fillId="0" borderId="14" xfId="0" applyNumberFormat="1" applyFont="1" applyBorder="1" applyAlignment="1" applyProtection="1">
      <alignment horizontal="center"/>
      <protection locked="0"/>
    </xf>
    <xf numFmtId="167" fontId="5" fillId="0" borderId="25" xfId="0" applyNumberFormat="1" applyFont="1" applyBorder="1" applyAlignment="1" applyProtection="1">
      <alignment horizontal="center"/>
      <protection locked="0"/>
    </xf>
    <xf numFmtId="164" fontId="1" fillId="0" borderId="14" xfId="0" applyNumberFormat="1" applyFont="1" applyBorder="1" applyAlignment="1" applyProtection="1">
      <alignment horizontal="center"/>
      <protection locked="0"/>
    </xf>
    <xf numFmtId="164" fontId="1" fillId="0" borderId="25" xfId="0" applyNumberFormat="1" applyFont="1" applyBorder="1" applyAlignment="1" applyProtection="1">
      <alignment horizontal="center"/>
      <protection locked="0"/>
    </xf>
    <xf numFmtId="165" fontId="5" fillId="0" borderId="14" xfId="0" quotePrefix="1" applyNumberFormat="1" applyFont="1" applyBorder="1" applyAlignment="1" applyProtection="1">
      <alignment horizontal="center"/>
      <protection locked="0"/>
    </xf>
    <xf numFmtId="165" fontId="5" fillId="0" borderId="25" xfId="0" quotePrefix="1" applyNumberFormat="1" applyFont="1" applyBorder="1" applyAlignment="1" applyProtection="1">
      <alignment horizontal="center"/>
      <protection locked="0"/>
    </xf>
  </cellXfs>
  <cellStyles count="2">
    <cellStyle name="Hiperłącze" xfId="1" builtinId="8"/>
    <cellStyle name="Normalny" xfId="0" builtinId="0"/>
  </cellStyles>
  <dxfs count="1">
    <dxf>
      <font>
        <b/>
        <i val="0"/>
        <color rgb="FFD2382A"/>
      </font>
    </dxf>
  </dxfs>
  <tableStyles count="0" defaultTableStyle="TableStyleMedium2" defaultPivotStyle="PivotStyleLight16"/>
  <colors>
    <mruColors>
      <color rgb="FF006C69"/>
      <color rgb="FFD2382A"/>
      <color rgb="FF381C19"/>
      <color rgb="FFFFCD26"/>
      <color rgb="FF00B6E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4990" cy="750570"/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E29595-B2ED-4634-AD8A-2579308CB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1824990</xdr:colOff>
      <xdr:row>0</xdr:row>
      <xdr:rowOff>750570</xdr:rowOff>
    </xdr:to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30599E-979C-487A-9E6C-F265A7CB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4990" cy="750570"/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33202D-D742-4EE9-A860-50E6954CD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6ED"/>
    <pageSetUpPr fitToPage="1"/>
  </sheetPr>
  <dimension ref="A1:AG60"/>
  <sheetViews>
    <sheetView showGridLines="0" tabSelected="1" workbookViewId="0">
      <pane ySplit="1" topLeftCell="A2" activePane="bottomLeft" state="frozen"/>
      <selection pane="bottomLeft" activeCell="B5" sqref="B5:C5"/>
    </sheetView>
  </sheetViews>
  <sheetFormatPr defaultColWidth="8.85546875" defaultRowHeight="20.25" customHeight="1" x14ac:dyDescent="0.2"/>
  <cols>
    <col min="1" max="1" width="40.5703125" style="1" customWidth="1"/>
    <col min="2" max="3" width="25.5703125" style="1" customWidth="1"/>
    <col min="4" max="33" width="15.5703125" style="1" hidden="1" customWidth="1"/>
    <col min="34" max="36" width="15.5703125" style="1" customWidth="1"/>
    <col min="37" max="249" width="8.85546875" style="1"/>
    <col min="250" max="250" width="11.85546875" style="1" customWidth="1"/>
    <col min="251" max="251" width="15" style="1" customWidth="1"/>
    <col min="252" max="252" width="12.85546875" style="1" customWidth="1"/>
    <col min="253" max="253" width="13.5703125" style="1" customWidth="1"/>
    <col min="254" max="254" width="14.140625" style="1" customWidth="1"/>
    <col min="255" max="255" width="12.5703125" style="1" customWidth="1"/>
    <col min="256" max="256" width="13.28515625" style="1" customWidth="1"/>
    <col min="257" max="505" width="8.85546875" style="1"/>
    <col min="506" max="506" width="11.85546875" style="1" customWidth="1"/>
    <col min="507" max="507" width="15" style="1" customWidth="1"/>
    <col min="508" max="508" width="12.85546875" style="1" customWidth="1"/>
    <col min="509" max="509" width="13.5703125" style="1" customWidth="1"/>
    <col min="510" max="510" width="14.140625" style="1" customWidth="1"/>
    <col min="511" max="511" width="12.5703125" style="1" customWidth="1"/>
    <col min="512" max="512" width="13.28515625" style="1" customWidth="1"/>
    <col min="513" max="761" width="8.85546875" style="1"/>
    <col min="762" max="762" width="11.85546875" style="1" customWidth="1"/>
    <col min="763" max="763" width="15" style="1" customWidth="1"/>
    <col min="764" max="764" width="12.85546875" style="1" customWidth="1"/>
    <col min="765" max="765" width="13.5703125" style="1" customWidth="1"/>
    <col min="766" max="766" width="14.140625" style="1" customWidth="1"/>
    <col min="767" max="767" width="12.5703125" style="1" customWidth="1"/>
    <col min="768" max="768" width="13.28515625" style="1" customWidth="1"/>
    <col min="769" max="1017" width="8.85546875" style="1"/>
    <col min="1018" max="1018" width="11.85546875" style="1" customWidth="1"/>
    <col min="1019" max="1019" width="15" style="1" customWidth="1"/>
    <col min="1020" max="1020" width="12.85546875" style="1" customWidth="1"/>
    <col min="1021" max="1021" width="13.5703125" style="1" customWidth="1"/>
    <col min="1022" max="1022" width="14.140625" style="1" customWidth="1"/>
    <col min="1023" max="1023" width="12.5703125" style="1" customWidth="1"/>
    <col min="1024" max="1024" width="13.28515625" style="1" customWidth="1"/>
    <col min="1025" max="1273" width="8.85546875" style="1"/>
    <col min="1274" max="1274" width="11.85546875" style="1" customWidth="1"/>
    <col min="1275" max="1275" width="15" style="1" customWidth="1"/>
    <col min="1276" max="1276" width="12.85546875" style="1" customWidth="1"/>
    <col min="1277" max="1277" width="13.5703125" style="1" customWidth="1"/>
    <col min="1278" max="1278" width="14.140625" style="1" customWidth="1"/>
    <col min="1279" max="1279" width="12.5703125" style="1" customWidth="1"/>
    <col min="1280" max="1280" width="13.28515625" style="1" customWidth="1"/>
    <col min="1281" max="1529" width="8.85546875" style="1"/>
    <col min="1530" max="1530" width="11.85546875" style="1" customWidth="1"/>
    <col min="1531" max="1531" width="15" style="1" customWidth="1"/>
    <col min="1532" max="1532" width="12.85546875" style="1" customWidth="1"/>
    <col min="1533" max="1533" width="13.5703125" style="1" customWidth="1"/>
    <col min="1534" max="1534" width="14.140625" style="1" customWidth="1"/>
    <col min="1535" max="1535" width="12.5703125" style="1" customWidth="1"/>
    <col min="1536" max="1536" width="13.28515625" style="1" customWidth="1"/>
    <col min="1537" max="1785" width="8.85546875" style="1"/>
    <col min="1786" max="1786" width="11.85546875" style="1" customWidth="1"/>
    <col min="1787" max="1787" width="15" style="1" customWidth="1"/>
    <col min="1788" max="1788" width="12.85546875" style="1" customWidth="1"/>
    <col min="1789" max="1789" width="13.5703125" style="1" customWidth="1"/>
    <col min="1790" max="1790" width="14.140625" style="1" customWidth="1"/>
    <col min="1791" max="1791" width="12.5703125" style="1" customWidth="1"/>
    <col min="1792" max="1792" width="13.28515625" style="1" customWidth="1"/>
    <col min="1793" max="2041" width="8.85546875" style="1"/>
    <col min="2042" max="2042" width="11.85546875" style="1" customWidth="1"/>
    <col min="2043" max="2043" width="15" style="1" customWidth="1"/>
    <col min="2044" max="2044" width="12.85546875" style="1" customWidth="1"/>
    <col min="2045" max="2045" width="13.5703125" style="1" customWidth="1"/>
    <col min="2046" max="2046" width="14.140625" style="1" customWidth="1"/>
    <col min="2047" max="2047" width="12.5703125" style="1" customWidth="1"/>
    <col min="2048" max="2048" width="13.28515625" style="1" customWidth="1"/>
    <col min="2049" max="2297" width="8.85546875" style="1"/>
    <col min="2298" max="2298" width="11.85546875" style="1" customWidth="1"/>
    <col min="2299" max="2299" width="15" style="1" customWidth="1"/>
    <col min="2300" max="2300" width="12.85546875" style="1" customWidth="1"/>
    <col min="2301" max="2301" width="13.5703125" style="1" customWidth="1"/>
    <col min="2302" max="2302" width="14.140625" style="1" customWidth="1"/>
    <col min="2303" max="2303" width="12.5703125" style="1" customWidth="1"/>
    <col min="2304" max="2304" width="13.28515625" style="1" customWidth="1"/>
    <col min="2305" max="2553" width="8.85546875" style="1"/>
    <col min="2554" max="2554" width="11.85546875" style="1" customWidth="1"/>
    <col min="2555" max="2555" width="15" style="1" customWidth="1"/>
    <col min="2556" max="2556" width="12.85546875" style="1" customWidth="1"/>
    <col min="2557" max="2557" width="13.5703125" style="1" customWidth="1"/>
    <col min="2558" max="2558" width="14.140625" style="1" customWidth="1"/>
    <col min="2559" max="2559" width="12.5703125" style="1" customWidth="1"/>
    <col min="2560" max="2560" width="13.28515625" style="1" customWidth="1"/>
    <col min="2561" max="2809" width="8.85546875" style="1"/>
    <col min="2810" max="2810" width="11.85546875" style="1" customWidth="1"/>
    <col min="2811" max="2811" width="15" style="1" customWidth="1"/>
    <col min="2812" max="2812" width="12.85546875" style="1" customWidth="1"/>
    <col min="2813" max="2813" width="13.5703125" style="1" customWidth="1"/>
    <col min="2814" max="2814" width="14.140625" style="1" customWidth="1"/>
    <col min="2815" max="2815" width="12.5703125" style="1" customWidth="1"/>
    <col min="2816" max="2816" width="13.28515625" style="1" customWidth="1"/>
    <col min="2817" max="3065" width="8.85546875" style="1"/>
    <col min="3066" max="3066" width="11.85546875" style="1" customWidth="1"/>
    <col min="3067" max="3067" width="15" style="1" customWidth="1"/>
    <col min="3068" max="3068" width="12.85546875" style="1" customWidth="1"/>
    <col min="3069" max="3069" width="13.5703125" style="1" customWidth="1"/>
    <col min="3070" max="3070" width="14.140625" style="1" customWidth="1"/>
    <col min="3071" max="3071" width="12.5703125" style="1" customWidth="1"/>
    <col min="3072" max="3072" width="13.28515625" style="1" customWidth="1"/>
    <col min="3073" max="3321" width="8.85546875" style="1"/>
    <col min="3322" max="3322" width="11.85546875" style="1" customWidth="1"/>
    <col min="3323" max="3323" width="15" style="1" customWidth="1"/>
    <col min="3324" max="3324" width="12.85546875" style="1" customWidth="1"/>
    <col min="3325" max="3325" width="13.5703125" style="1" customWidth="1"/>
    <col min="3326" max="3326" width="14.140625" style="1" customWidth="1"/>
    <col min="3327" max="3327" width="12.5703125" style="1" customWidth="1"/>
    <col min="3328" max="3328" width="13.28515625" style="1" customWidth="1"/>
    <col min="3329" max="3577" width="8.85546875" style="1"/>
    <col min="3578" max="3578" width="11.85546875" style="1" customWidth="1"/>
    <col min="3579" max="3579" width="15" style="1" customWidth="1"/>
    <col min="3580" max="3580" width="12.85546875" style="1" customWidth="1"/>
    <col min="3581" max="3581" width="13.5703125" style="1" customWidth="1"/>
    <col min="3582" max="3582" width="14.140625" style="1" customWidth="1"/>
    <col min="3583" max="3583" width="12.5703125" style="1" customWidth="1"/>
    <col min="3584" max="3584" width="13.28515625" style="1" customWidth="1"/>
    <col min="3585" max="3833" width="8.85546875" style="1"/>
    <col min="3834" max="3834" width="11.85546875" style="1" customWidth="1"/>
    <col min="3835" max="3835" width="15" style="1" customWidth="1"/>
    <col min="3836" max="3836" width="12.85546875" style="1" customWidth="1"/>
    <col min="3837" max="3837" width="13.5703125" style="1" customWidth="1"/>
    <col min="3838" max="3838" width="14.140625" style="1" customWidth="1"/>
    <col min="3839" max="3839" width="12.5703125" style="1" customWidth="1"/>
    <col min="3840" max="3840" width="13.28515625" style="1" customWidth="1"/>
    <col min="3841" max="4089" width="8.85546875" style="1"/>
    <col min="4090" max="4090" width="11.85546875" style="1" customWidth="1"/>
    <col min="4091" max="4091" width="15" style="1" customWidth="1"/>
    <col min="4092" max="4092" width="12.85546875" style="1" customWidth="1"/>
    <col min="4093" max="4093" width="13.5703125" style="1" customWidth="1"/>
    <col min="4094" max="4094" width="14.140625" style="1" customWidth="1"/>
    <col min="4095" max="4095" width="12.5703125" style="1" customWidth="1"/>
    <col min="4096" max="4096" width="13.28515625" style="1" customWidth="1"/>
    <col min="4097" max="4345" width="8.85546875" style="1"/>
    <col min="4346" max="4346" width="11.85546875" style="1" customWidth="1"/>
    <col min="4347" max="4347" width="15" style="1" customWidth="1"/>
    <col min="4348" max="4348" width="12.85546875" style="1" customWidth="1"/>
    <col min="4349" max="4349" width="13.5703125" style="1" customWidth="1"/>
    <col min="4350" max="4350" width="14.140625" style="1" customWidth="1"/>
    <col min="4351" max="4351" width="12.5703125" style="1" customWidth="1"/>
    <col min="4352" max="4352" width="13.28515625" style="1" customWidth="1"/>
    <col min="4353" max="4601" width="8.85546875" style="1"/>
    <col min="4602" max="4602" width="11.85546875" style="1" customWidth="1"/>
    <col min="4603" max="4603" width="15" style="1" customWidth="1"/>
    <col min="4604" max="4604" width="12.85546875" style="1" customWidth="1"/>
    <col min="4605" max="4605" width="13.5703125" style="1" customWidth="1"/>
    <col min="4606" max="4606" width="14.140625" style="1" customWidth="1"/>
    <col min="4607" max="4607" width="12.5703125" style="1" customWidth="1"/>
    <col min="4608" max="4608" width="13.28515625" style="1" customWidth="1"/>
    <col min="4609" max="4857" width="8.85546875" style="1"/>
    <col min="4858" max="4858" width="11.85546875" style="1" customWidth="1"/>
    <col min="4859" max="4859" width="15" style="1" customWidth="1"/>
    <col min="4860" max="4860" width="12.85546875" style="1" customWidth="1"/>
    <col min="4861" max="4861" width="13.5703125" style="1" customWidth="1"/>
    <col min="4862" max="4862" width="14.140625" style="1" customWidth="1"/>
    <col min="4863" max="4863" width="12.5703125" style="1" customWidth="1"/>
    <col min="4864" max="4864" width="13.28515625" style="1" customWidth="1"/>
    <col min="4865" max="5113" width="8.85546875" style="1"/>
    <col min="5114" max="5114" width="11.85546875" style="1" customWidth="1"/>
    <col min="5115" max="5115" width="15" style="1" customWidth="1"/>
    <col min="5116" max="5116" width="12.85546875" style="1" customWidth="1"/>
    <col min="5117" max="5117" width="13.5703125" style="1" customWidth="1"/>
    <col min="5118" max="5118" width="14.140625" style="1" customWidth="1"/>
    <col min="5119" max="5119" width="12.5703125" style="1" customWidth="1"/>
    <col min="5120" max="5120" width="13.28515625" style="1" customWidth="1"/>
    <col min="5121" max="5369" width="8.85546875" style="1"/>
    <col min="5370" max="5370" width="11.85546875" style="1" customWidth="1"/>
    <col min="5371" max="5371" width="15" style="1" customWidth="1"/>
    <col min="5372" max="5372" width="12.85546875" style="1" customWidth="1"/>
    <col min="5373" max="5373" width="13.5703125" style="1" customWidth="1"/>
    <col min="5374" max="5374" width="14.140625" style="1" customWidth="1"/>
    <col min="5375" max="5375" width="12.5703125" style="1" customWidth="1"/>
    <col min="5376" max="5376" width="13.28515625" style="1" customWidth="1"/>
    <col min="5377" max="5625" width="8.85546875" style="1"/>
    <col min="5626" max="5626" width="11.85546875" style="1" customWidth="1"/>
    <col min="5627" max="5627" width="15" style="1" customWidth="1"/>
    <col min="5628" max="5628" width="12.85546875" style="1" customWidth="1"/>
    <col min="5629" max="5629" width="13.5703125" style="1" customWidth="1"/>
    <col min="5630" max="5630" width="14.140625" style="1" customWidth="1"/>
    <col min="5631" max="5631" width="12.5703125" style="1" customWidth="1"/>
    <col min="5632" max="5632" width="13.28515625" style="1" customWidth="1"/>
    <col min="5633" max="5881" width="8.85546875" style="1"/>
    <col min="5882" max="5882" width="11.85546875" style="1" customWidth="1"/>
    <col min="5883" max="5883" width="15" style="1" customWidth="1"/>
    <col min="5884" max="5884" width="12.85546875" style="1" customWidth="1"/>
    <col min="5885" max="5885" width="13.5703125" style="1" customWidth="1"/>
    <col min="5886" max="5886" width="14.140625" style="1" customWidth="1"/>
    <col min="5887" max="5887" width="12.5703125" style="1" customWidth="1"/>
    <col min="5888" max="5888" width="13.28515625" style="1" customWidth="1"/>
    <col min="5889" max="6137" width="8.85546875" style="1"/>
    <col min="6138" max="6138" width="11.85546875" style="1" customWidth="1"/>
    <col min="6139" max="6139" width="15" style="1" customWidth="1"/>
    <col min="6140" max="6140" width="12.85546875" style="1" customWidth="1"/>
    <col min="6141" max="6141" width="13.5703125" style="1" customWidth="1"/>
    <col min="6142" max="6142" width="14.140625" style="1" customWidth="1"/>
    <col min="6143" max="6143" width="12.5703125" style="1" customWidth="1"/>
    <col min="6144" max="6144" width="13.28515625" style="1" customWidth="1"/>
    <col min="6145" max="6393" width="8.85546875" style="1"/>
    <col min="6394" max="6394" width="11.85546875" style="1" customWidth="1"/>
    <col min="6395" max="6395" width="15" style="1" customWidth="1"/>
    <col min="6396" max="6396" width="12.85546875" style="1" customWidth="1"/>
    <col min="6397" max="6397" width="13.5703125" style="1" customWidth="1"/>
    <col min="6398" max="6398" width="14.140625" style="1" customWidth="1"/>
    <col min="6399" max="6399" width="12.5703125" style="1" customWidth="1"/>
    <col min="6400" max="6400" width="13.28515625" style="1" customWidth="1"/>
    <col min="6401" max="6649" width="8.85546875" style="1"/>
    <col min="6650" max="6650" width="11.85546875" style="1" customWidth="1"/>
    <col min="6651" max="6651" width="15" style="1" customWidth="1"/>
    <col min="6652" max="6652" width="12.85546875" style="1" customWidth="1"/>
    <col min="6653" max="6653" width="13.5703125" style="1" customWidth="1"/>
    <col min="6654" max="6654" width="14.140625" style="1" customWidth="1"/>
    <col min="6655" max="6655" width="12.5703125" style="1" customWidth="1"/>
    <col min="6656" max="6656" width="13.28515625" style="1" customWidth="1"/>
    <col min="6657" max="6905" width="8.85546875" style="1"/>
    <col min="6906" max="6906" width="11.85546875" style="1" customWidth="1"/>
    <col min="6907" max="6907" width="15" style="1" customWidth="1"/>
    <col min="6908" max="6908" width="12.85546875" style="1" customWidth="1"/>
    <col min="6909" max="6909" width="13.5703125" style="1" customWidth="1"/>
    <col min="6910" max="6910" width="14.140625" style="1" customWidth="1"/>
    <col min="6911" max="6911" width="12.5703125" style="1" customWidth="1"/>
    <col min="6912" max="6912" width="13.28515625" style="1" customWidth="1"/>
    <col min="6913" max="7161" width="8.85546875" style="1"/>
    <col min="7162" max="7162" width="11.85546875" style="1" customWidth="1"/>
    <col min="7163" max="7163" width="15" style="1" customWidth="1"/>
    <col min="7164" max="7164" width="12.85546875" style="1" customWidth="1"/>
    <col min="7165" max="7165" width="13.5703125" style="1" customWidth="1"/>
    <col min="7166" max="7166" width="14.140625" style="1" customWidth="1"/>
    <col min="7167" max="7167" width="12.5703125" style="1" customWidth="1"/>
    <col min="7168" max="7168" width="13.28515625" style="1" customWidth="1"/>
    <col min="7169" max="7417" width="8.85546875" style="1"/>
    <col min="7418" max="7418" width="11.85546875" style="1" customWidth="1"/>
    <col min="7419" max="7419" width="15" style="1" customWidth="1"/>
    <col min="7420" max="7420" width="12.85546875" style="1" customWidth="1"/>
    <col min="7421" max="7421" width="13.5703125" style="1" customWidth="1"/>
    <col min="7422" max="7422" width="14.140625" style="1" customWidth="1"/>
    <col min="7423" max="7423" width="12.5703125" style="1" customWidth="1"/>
    <col min="7424" max="7424" width="13.28515625" style="1" customWidth="1"/>
    <col min="7425" max="7673" width="8.85546875" style="1"/>
    <col min="7674" max="7674" width="11.85546875" style="1" customWidth="1"/>
    <col min="7675" max="7675" width="15" style="1" customWidth="1"/>
    <col min="7676" max="7676" width="12.85546875" style="1" customWidth="1"/>
    <col min="7677" max="7677" width="13.5703125" style="1" customWidth="1"/>
    <col min="7678" max="7678" width="14.140625" style="1" customWidth="1"/>
    <col min="7679" max="7679" width="12.5703125" style="1" customWidth="1"/>
    <col min="7680" max="7680" width="13.28515625" style="1" customWidth="1"/>
    <col min="7681" max="7929" width="8.85546875" style="1"/>
    <col min="7930" max="7930" width="11.85546875" style="1" customWidth="1"/>
    <col min="7931" max="7931" width="15" style="1" customWidth="1"/>
    <col min="7932" max="7932" width="12.85546875" style="1" customWidth="1"/>
    <col min="7933" max="7933" width="13.5703125" style="1" customWidth="1"/>
    <col min="7934" max="7934" width="14.140625" style="1" customWidth="1"/>
    <col min="7935" max="7935" width="12.5703125" style="1" customWidth="1"/>
    <col min="7936" max="7936" width="13.28515625" style="1" customWidth="1"/>
    <col min="7937" max="8185" width="8.85546875" style="1"/>
    <col min="8186" max="8186" width="11.85546875" style="1" customWidth="1"/>
    <col min="8187" max="8187" width="15" style="1" customWidth="1"/>
    <col min="8188" max="8188" width="12.85546875" style="1" customWidth="1"/>
    <col min="8189" max="8189" width="13.5703125" style="1" customWidth="1"/>
    <col min="8190" max="8190" width="14.140625" style="1" customWidth="1"/>
    <col min="8191" max="8191" width="12.5703125" style="1" customWidth="1"/>
    <col min="8192" max="8192" width="13.28515625" style="1" customWidth="1"/>
    <col min="8193" max="8441" width="8.85546875" style="1"/>
    <col min="8442" max="8442" width="11.85546875" style="1" customWidth="1"/>
    <col min="8443" max="8443" width="15" style="1" customWidth="1"/>
    <col min="8444" max="8444" width="12.85546875" style="1" customWidth="1"/>
    <col min="8445" max="8445" width="13.5703125" style="1" customWidth="1"/>
    <col min="8446" max="8446" width="14.140625" style="1" customWidth="1"/>
    <col min="8447" max="8447" width="12.5703125" style="1" customWidth="1"/>
    <col min="8448" max="8448" width="13.28515625" style="1" customWidth="1"/>
    <col min="8449" max="8697" width="8.85546875" style="1"/>
    <col min="8698" max="8698" width="11.85546875" style="1" customWidth="1"/>
    <col min="8699" max="8699" width="15" style="1" customWidth="1"/>
    <col min="8700" max="8700" width="12.85546875" style="1" customWidth="1"/>
    <col min="8701" max="8701" width="13.5703125" style="1" customWidth="1"/>
    <col min="8702" max="8702" width="14.140625" style="1" customWidth="1"/>
    <col min="8703" max="8703" width="12.5703125" style="1" customWidth="1"/>
    <col min="8704" max="8704" width="13.28515625" style="1" customWidth="1"/>
    <col min="8705" max="8953" width="8.85546875" style="1"/>
    <col min="8954" max="8954" width="11.85546875" style="1" customWidth="1"/>
    <col min="8955" max="8955" width="15" style="1" customWidth="1"/>
    <col min="8956" max="8956" width="12.85546875" style="1" customWidth="1"/>
    <col min="8957" max="8957" width="13.5703125" style="1" customWidth="1"/>
    <col min="8958" max="8958" width="14.140625" style="1" customWidth="1"/>
    <col min="8959" max="8959" width="12.5703125" style="1" customWidth="1"/>
    <col min="8960" max="8960" width="13.28515625" style="1" customWidth="1"/>
    <col min="8961" max="9209" width="8.85546875" style="1"/>
    <col min="9210" max="9210" width="11.85546875" style="1" customWidth="1"/>
    <col min="9211" max="9211" width="15" style="1" customWidth="1"/>
    <col min="9212" max="9212" width="12.85546875" style="1" customWidth="1"/>
    <col min="9213" max="9213" width="13.5703125" style="1" customWidth="1"/>
    <col min="9214" max="9214" width="14.140625" style="1" customWidth="1"/>
    <col min="9215" max="9215" width="12.5703125" style="1" customWidth="1"/>
    <col min="9216" max="9216" width="13.28515625" style="1" customWidth="1"/>
    <col min="9217" max="9465" width="8.85546875" style="1"/>
    <col min="9466" max="9466" width="11.85546875" style="1" customWidth="1"/>
    <col min="9467" max="9467" width="15" style="1" customWidth="1"/>
    <col min="9468" max="9468" width="12.85546875" style="1" customWidth="1"/>
    <col min="9469" max="9469" width="13.5703125" style="1" customWidth="1"/>
    <col min="9470" max="9470" width="14.140625" style="1" customWidth="1"/>
    <col min="9471" max="9471" width="12.5703125" style="1" customWidth="1"/>
    <col min="9472" max="9472" width="13.28515625" style="1" customWidth="1"/>
    <col min="9473" max="9721" width="8.85546875" style="1"/>
    <col min="9722" max="9722" width="11.85546875" style="1" customWidth="1"/>
    <col min="9723" max="9723" width="15" style="1" customWidth="1"/>
    <col min="9724" max="9724" width="12.85546875" style="1" customWidth="1"/>
    <col min="9725" max="9725" width="13.5703125" style="1" customWidth="1"/>
    <col min="9726" max="9726" width="14.140625" style="1" customWidth="1"/>
    <col min="9727" max="9727" width="12.5703125" style="1" customWidth="1"/>
    <col min="9728" max="9728" width="13.28515625" style="1" customWidth="1"/>
    <col min="9729" max="9977" width="8.85546875" style="1"/>
    <col min="9978" max="9978" width="11.85546875" style="1" customWidth="1"/>
    <col min="9979" max="9979" width="15" style="1" customWidth="1"/>
    <col min="9980" max="9980" width="12.85546875" style="1" customWidth="1"/>
    <col min="9981" max="9981" width="13.5703125" style="1" customWidth="1"/>
    <col min="9982" max="9982" width="14.140625" style="1" customWidth="1"/>
    <col min="9983" max="9983" width="12.5703125" style="1" customWidth="1"/>
    <col min="9984" max="9984" width="13.28515625" style="1" customWidth="1"/>
    <col min="9985" max="10233" width="8.85546875" style="1"/>
    <col min="10234" max="10234" width="11.85546875" style="1" customWidth="1"/>
    <col min="10235" max="10235" width="15" style="1" customWidth="1"/>
    <col min="10236" max="10236" width="12.85546875" style="1" customWidth="1"/>
    <col min="10237" max="10237" width="13.5703125" style="1" customWidth="1"/>
    <col min="10238" max="10238" width="14.140625" style="1" customWidth="1"/>
    <col min="10239" max="10239" width="12.5703125" style="1" customWidth="1"/>
    <col min="10240" max="10240" width="13.28515625" style="1" customWidth="1"/>
    <col min="10241" max="10489" width="8.85546875" style="1"/>
    <col min="10490" max="10490" width="11.85546875" style="1" customWidth="1"/>
    <col min="10491" max="10491" width="15" style="1" customWidth="1"/>
    <col min="10492" max="10492" width="12.85546875" style="1" customWidth="1"/>
    <col min="10493" max="10493" width="13.5703125" style="1" customWidth="1"/>
    <col min="10494" max="10494" width="14.140625" style="1" customWidth="1"/>
    <col min="10495" max="10495" width="12.5703125" style="1" customWidth="1"/>
    <col min="10496" max="10496" width="13.28515625" style="1" customWidth="1"/>
    <col min="10497" max="10745" width="8.85546875" style="1"/>
    <col min="10746" max="10746" width="11.85546875" style="1" customWidth="1"/>
    <col min="10747" max="10747" width="15" style="1" customWidth="1"/>
    <col min="10748" max="10748" width="12.85546875" style="1" customWidth="1"/>
    <col min="10749" max="10749" width="13.5703125" style="1" customWidth="1"/>
    <col min="10750" max="10750" width="14.140625" style="1" customWidth="1"/>
    <col min="10751" max="10751" width="12.5703125" style="1" customWidth="1"/>
    <col min="10752" max="10752" width="13.28515625" style="1" customWidth="1"/>
    <col min="10753" max="11001" width="8.85546875" style="1"/>
    <col min="11002" max="11002" width="11.85546875" style="1" customWidth="1"/>
    <col min="11003" max="11003" width="15" style="1" customWidth="1"/>
    <col min="11004" max="11004" width="12.85546875" style="1" customWidth="1"/>
    <col min="11005" max="11005" width="13.5703125" style="1" customWidth="1"/>
    <col min="11006" max="11006" width="14.140625" style="1" customWidth="1"/>
    <col min="11007" max="11007" width="12.5703125" style="1" customWidth="1"/>
    <col min="11008" max="11008" width="13.28515625" style="1" customWidth="1"/>
    <col min="11009" max="11257" width="8.85546875" style="1"/>
    <col min="11258" max="11258" width="11.85546875" style="1" customWidth="1"/>
    <col min="11259" max="11259" width="15" style="1" customWidth="1"/>
    <col min="11260" max="11260" width="12.85546875" style="1" customWidth="1"/>
    <col min="11261" max="11261" width="13.5703125" style="1" customWidth="1"/>
    <col min="11262" max="11262" width="14.140625" style="1" customWidth="1"/>
    <col min="11263" max="11263" width="12.5703125" style="1" customWidth="1"/>
    <col min="11264" max="11264" width="13.28515625" style="1" customWidth="1"/>
    <col min="11265" max="11513" width="8.85546875" style="1"/>
    <col min="11514" max="11514" width="11.85546875" style="1" customWidth="1"/>
    <col min="11515" max="11515" width="15" style="1" customWidth="1"/>
    <col min="11516" max="11516" width="12.85546875" style="1" customWidth="1"/>
    <col min="11517" max="11517" width="13.5703125" style="1" customWidth="1"/>
    <col min="11518" max="11518" width="14.140625" style="1" customWidth="1"/>
    <col min="11519" max="11519" width="12.5703125" style="1" customWidth="1"/>
    <col min="11520" max="11520" width="13.28515625" style="1" customWidth="1"/>
    <col min="11521" max="11769" width="8.85546875" style="1"/>
    <col min="11770" max="11770" width="11.85546875" style="1" customWidth="1"/>
    <col min="11771" max="11771" width="15" style="1" customWidth="1"/>
    <col min="11772" max="11772" width="12.85546875" style="1" customWidth="1"/>
    <col min="11773" max="11773" width="13.5703125" style="1" customWidth="1"/>
    <col min="11774" max="11774" width="14.140625" style="1" customWidth="1"/>
    <col min="11775" max="11775" width="12.5703125" style="1" customWidth="1"/>
    <col min="11776" max="11776" width="13.28515625" style="1" customWidth="1"/>
    <col min="11777" max="12025" width="8.85546875" style="1"/>
    <col min="12026" max="12026" width="11.85546875" style="1" customWidth="1"/>
    <col min="12027" max="12027" width="15" style="1" customWidth="1"/>
    <col min="12028" max="12028" width="12.85546875" style="1" customWidth="1"/>
    <col min="12029" max="12029" width="13.5703125" style="1" customWidth="1"/>
    <col min="12030" max="12030" width="14.140625" style="1" customWidth="1"/>
    <col min="12031" max="12031" width="12.5703125" style="1" customWidth="1"/>
    <col min="12032" max="12032" width="13.28515625" style="1" customWidth="1"/>
    <col min="12033" max="12281" width="8.85546875" style="1"/>
    <col min="12282" max="12282" width="11.85546875" style="1" customWidth="1"/>
    <col min="12283" max="12283" width="15" style="1" customWidth="1"/>
    <col min="12284" max="12284" width="12.85546875" style="1" customWidth="1"/>
    <col min="12285" max="12285" width="13.5703125" style="1" customWidth="1"/>
    <col min="12286" max="12286" width="14.140625" style="1" customWidth="1"/>
    <col min="12287" max="12287" width="12.5703125" style="1" customWidth="1"/>
    <col min="12288" max="12288" width="13.28515625" style="1" customWidth="1"/>
    <col min="12289" max="12537" width="8.85546875" style="1"/>
    <col min="12538" max="12538" width="11.85546875" style="1" customWidth="1"/>
    <col min="12539" max="12539" width="15" style="1" customWidth="1"/>
    <col min="12540" max="12540" width="12.85546875" style="1" customWidth="1"/>
    <col min="12541" max="12541" width="13.5703125" style="1" customWidth="1"/>
    <col min="12542" max="12542" width="14.140625" style="1" customWidth="1"/>
    <col min="12543" max="12543" width="12.5703125" style="1" customWidth="1"/>
    <col min="12544" max="12544" width="13.28515625" style="1" customWidth="1"/>
    <col min="12545" max="12793" width="8.85546875" style="1"/>
    <col min="12794" max="12794" width="11.85546875" style="1" customWidth="1"/>
    <col min="12795" max="12795" width="15" style="1" customWidth="1"/>
    <col min="12796" max="12796" width="12.85546875" style="1" customWidth="1"/>
    <col min="12797" max="12797" width="13.5703125" style="1" customWidth="1"/>
    <col min="12798" max="12798" width="14.140625" style="1" customWidth="1"/>
    <col min="12799" max="12799" width="12.5703125" style="1" customWidth="1"/>
    <col min="12800" max="12800" width="13.28515625" style="1" customWidth="1"/>
    <col min="12801" max="13049" width="8.85546875" style="1"/>
    <col min="13050" max="13050" width="11.85546875" style="1" customWidth="1"/>
    <col min="13051" max="13051" width="15" style="1" customWidth="1"/>
    <col min="13052" max="13052" width="12.85546875" style="1" customWidth="1"/>
    <col min="13053" max="13053" width="13.5703125" style="1" customWidth="1"/>
    <col min="13054" max="13054" width="14.140625" style="1" customWidth="1"/>
    <col min="13055" max="13055" width="12.5703125" style="1" customWidth="1"/>
    <col min="13056" max="13056" width="13.28515625" style="1" customWidth="1"/>
    <col min="13057" max="13305" width="8.85546875" style="1"/>
    <col min="13306" max="13306" width="11.85546875" style="1" customWidth="1"/>
    <col min="13307" max="13307" width="15" style="1" customWidth="1"/>
    <col min="13308" max="13308" width="12.85546875" style="1" customWidth="1"/>
    <col min="13309" max="13309" width="13.5703125" style="1" customWidth="1"/>
    <col min="13310" max="13310" width="14.140625" style="1" customWidth="1"/>
    <col min="13311" max="13311" width="12.5703125" style="1" customWidth="1"/>
    <col min="13312" max="13312" width="13.28515625" style="1" customWidth="1"/>
    <col min="13313" max="13561" width="8.85546875" style="1"/>
    <col min="13562" max="13562" width="11.85546875" style="1" customWidth="1"/>
    <col min="13563" max="13563" width="15" style="1" customWidth="1"/>
    <col min="13564" max="13564" width="12.85546875" style="1" customWidth="1"/>
    <col min="13565" max="13565" width="13.5703125" style="1" customWidth="1"/>
    <col min="13566" max="13566" width="14.140625" style="1" customWidth="1"/>
    <col min="13567" max="13567" width="12.5703125" style="1" customWidth="1"/>
    <col min="13568" max="13568" width="13.28515625" style="1" customWidth="1"/>
    <col min="13569" max="13817" width="8.85546875" style="1"/>
    <col min="13818" max="13818" width="11.85546875" style="1" customWidth="1"/>
    <col min="13819" max="13819" width="15" style="1" customWidth="1"/>
    <col min="13820" max="13820" width="12.85546875" style="1" customWidth="1"/>
    <col min="13821" max="13821" width="13.5703125" style="1" customWidth="1"/>
    <col min="13822" max="13822" width="14.140625" style="1" customWidth="1"/>
    <col min="13823" max="13823" width="12.5703125" style="1" customWidth="1"/>
    <col min="13824" max="13824" width="13.28515625" style="1" customWidth="1"/>
    <col min="13825" max="14073" width="8.85546875" style="1"/>
    <col min="14074" max="14074" width="11.85546875" style="1" customWidth="1"/>
    <col min="14075" max="14075" width="15" style="1" customWidth="1"/>
    <col min="14076" max="14076" width="12.85546875" style="1" customWidth="1"/>
    <col min="14077" max="14077" width="13.5703125" style="1" customWidth="1"/>
    <col min="14078" max="14078" width="14.140625" style="1" customWidth="1"/>
    <col min="14079" max="14079" width="12.5703125" style="1" customWidth="1"/>
    <col min="14080" max="14080" width="13.28515625" style="1" customWidth="1"/>
    <col min="14081" max="14329" width="8.85546875" style="1"/>
    <col min="14330" max="14330" width="11.85546875" style="1" customWidth="1"/>
    <col min="14331" max="14331" width="15" style="1" customWidth="1"/>
    <col min="14332" max="14332" width="12.85546875" style="1" customWidth="1"/>
    <col min="14333" max="14333" width="13.5703125" style="1" customWidth="1"/>
    <col min="14334" max="14334" width="14.140625" style="1" customWidth="1"/>
    <col min="14335" max="14335" width="12.5703125" style="1" customWidth="1"/>
    <col min="14336" max="14336" width="13.28515625" style="1" customWidth="1"/>
    <col min="14337" max="14585" width="8.85546875" style="1"/>
    <col min="14586" max="14586" width="11.85546875" style="1" customWidth="1"/>
    <col min="14587" max="14587" width="15" style="1" customWidth="1"/>
    <col min="14588" max="14588" width="12.85546875" style="1" customWidth="1"/>
    <col min="14589" max="14589" width="13.5703125" style="1" customWidth="1"/>
    <col min="14590" max="14590" width="14.140625" style="1" customWidth="1"/>
    <col min="14591" max="14591" width="12.5703125" style="1" customWidth="1"/>
    <col min="14592" max="14592" width="13.28515625" style="1" customWidth="1"/>
    <col min="14593" max="14841" width="8.85546875" style="1"/>
    <col min="14842" max="14842" width="11.85546875" style="1" customWidth="1"/>
    <col min="14843" max="14843" width="15" style="1" customWidth="1"/>
    <col min="14844" max="14844" width="12.85546875" style="1" customWidth="1"/>
    <col min="14845" max="14845" width="13.5703125" style="1" customWidth="1"/>
    <col min="14846" max="14846" width="14.140625" style="1" customWidth="1"/>
    <col min="14847" max="14847" width="12.5703125" style="1" customWidth="1"/>
    <col min="14848" max="14848" width="13.28515625" style="1" customWidth="1"/>
    <col min="14849" max="15097" width="8.85546875" style="1"/>
    <col min="15098" max="15098" width="11.85546875" style="1" customWidth="1"/>
    <col min="15099" max="15099" width="15" style="1" customWidth="1"/>
    <col min="15100" max="15100" width="12.85546875" style="1" customWidth="1"/>
    <col min="15101" max="15101" width="13.5703125" style="1" customWidth="1"/>
    <col min="15102" max="15102" width="14.140625" style="1" customWidth="1"/>
    <col min="15103" max="15103" width="12.5703125" style="1" customWidth="1"/>
    <col min="15104" max="15104" width="13.28515625" style="1" customWidth="1"/>
    <col min="15105" max="15353" width="8.85546875" style="1"/>
    <col min="15354" max="15354" width="11.85546875" style="1" customWidth="1"/>
    <col min="15355" max="15355" width="15" style="1" customWidth="1"/>
    <col min="15356" max="15356" width="12.85546875" style="1" customWidth="1"/>
    <col min="15357" max="15357" width="13.5703125" style="1" customWidth="1"/>
    <col min="15358" max="15358" width="14.140625" style="1" customWidth="1"/>
    <col min="15359" max="15359" width="12.5703125" style="1" customWidth="1"/>
    <col min="15360" max="15360" width="13.28515625" style="1" customWidth="1"/>
    <col min="15361" max="15609" width="8.85546875" style="1"/>
    <col min="15610" max="15610" width="11.85546875" style="1" customWidth="1"/>
    <col min="15611" max="15611" width="15" style="1" customWidth="1"/>
    <col min="15612" max="15612" width="12.85546875" style="1" customWidth="1"/>
    <col min="15613" max="15613" width="13.5703125" style="1" customWidth="1"/>
    <col min="15614" max="15614" width="14.140625" style="1" customWidth="1"/>
    <col min="15615" max="15615" width="12.5703125" style="1" customWidth="1"/>
    <col min="15616" max="15616" width="13.28515625" style="1" customWidth="1"/>
    <col min="15617" max="15865" width="8.85546875" style="1"/>
    <col min="15866" max="15866" width="11.85546875" style="1" customWidth="1"/>
    <col min="15867" max="15867" width="15" style="1" customWidth="1"/>
    <col min="15868" max="15868" width="12.85546875" style="1" customWidth="1"/>
    <col min="15869" max="15869" width="13.5703125" style="1" customWidth="1"/>
    <col min="15870" max="15870" width="14.140625" style="1" customWidth="1"/>
    <col min="15871" max="15871" width="12.5703125" style="1" customWidth="1"/>
    <col min="15872" max="15872" width="13.28515625" style="1" customWidth="1"/>
    <col min="15873" max="16121" width="8.85546875" style="1"/>
    <col min="16122" max="16122" width="11.85546875" style="1" customWidth="1"/>
    <col min="16123" max="16123" width="15" style="1" customWidth="1"/>
    <col min="16124" max="16124" width="12.85546875" style="1" customWidth="1"/>
    <col min="16125" max="16125" width="13.5703125" style="1" customWidth="1"/>
    <col min="16126" max="16126" width="14.140625" style="1" customWidth="1"/>
    <col min="16127" max="16127" width="12.5703125" style="1" customWidth="1"/>
    <col min="16128" max="16128" width="13.28515625" style="1" customWidth="1"/>
    <col min="16129" max="16382" width="8.85546875" style="1"/>
    <col min="16383" max="16384" width="8.85546875" style="1" customWidth="1"/>
  </cols>
  <sheetData>
    <row r="1" spans="1:33" ht="60" customHeight="1" x14ac:dyDescent="0.2">
      <c r="B1" s="11" t="s">
        <v>104</v>
      </c>
    </row>
    <row r="3" spans="1:33" ht="20.25" customHeight="1" thickBot="1" x14ac:dyDescent="0.35">
      <c r="A3" s="10" t="s">
        <v>40</v>
      </c>
      <c r="B3" s="3"/>
    </row>
    <row r="4" spans="1:33" ht="20.100000000000001" customHeight="1" thickTop="1" thickBot="1" x14ac:dyDescent="0.25">
      <c r="A4" s="71" t="s">
        <v>4</v>
      </c>
      <c r="B4" s="77" t="s">
        <v>114</v>
      </c>
      <c r="C4" s="78"/>
      <c r="D4" s="1" t="s">
        <v>134</v>
      </c>
      <c r="E4" s="1" t="s">
        <v>83</v>
      </c>
      <c r="F4" s="1" t="s">
        <v>84</v>
      </c>
      <c r="G4" s="1" t="s">
        <v>97</v>
      </c>
      <c r="H4" s="1" t="s">
        <v>85</v>
      </c>
      <c r="I4" s="1" t="s">
        <v>84</v>
      </c>
      <c r="J4" s="1" t="s">
        <v>97</v>
      </c>
      <c r="K4" s="22" t="s">
        <v>87</v>
      </c>
      <c r="L4" s="1" t="s">
        <v>87</v>
      </c>
      <c r="M4" s="1" t="s">
        <v>87</v>
      </c>
      <c r="N4" s="1" t="s">
        <v>88</v>
      </c>
      <c r="O4" s="1" t="s">
        <v>88</v>
      </c>
      <c r="P4" s="1" t="s">
        <v>88</v>
      </c>
      <c r="R4" s="1" t="s">
        <v>89</v>
      </c>
      <c r="S4" s="1" t="s">
        <v>89</v>
      </c>
      <c r="T4" s="1" t="s">
        <v>89</v>
      </c>
      <c r="U4" s="1" t="s">
        <v>89</v>
      </c>
      <c r="V4" s="1" t="s">
        <v>89</v>
      </c>
      <c r="W4" s="1" t="s">
        <v>89</v>
      </c>
      <c r="X4" s="1" t="s">
        <v>90</v>
      </c>
      <c r="Y4" s="1" t="s">
        <v>90</v>
      </c>
      <c r="Z4" s="1" t="s">
        <v>90</v>
      </c>
      <c r="AA4" s="1" t="s">
        <v>90</v>
      </c>
      <c r="AB4" s="1" t="s">
        <v>90</v>
      </c>
      <c r="AC4" s="1" t="s">
        <v>90</v>
      </c>
      <c r="AD4" s="1" t="s">
        <v>96</v>
      </c>
      <c r="AE4" s="1" t="s">
        <v>98</v>
      </c>
      <c r="AF4" s="1" t="s">
        <v>99</v>
      </c>
      <c r="AG4" s="1" t="s">
        <v>99</v>
      </c>
    </row>
    <row r="5" spans="1:33" ht="20.25" customHeight="1" thickTop="1" x14ac:dyDescent="0.2">
      <c r="A5" s="15" t="s">
        <v>9</v>
      </c>
      <c r="B5" s="79">
        <v>174310.639</v>
      </c>
      <c r="C5" s="80"/>
      <c r="F5" s="1" t="s">
        <v>143</v>
      </c>
      <c r="G5" s="1" t="s">
        <v>143</v>
      </c>
      <c r="I5" s="1" t="s">
        <v>144</v>
      </c>
      <c r="J5" s="1" t="s">
        <v>144</v>
      </c>
      <c r="R5" s="1" t="s">
        <v>143</v>
      </c>
      <c r="S5" s="1" t="s">
        <v>143</v>
      </c>
      <c r="T5" s="1" t="s">
        <v>143</v>
      </c>
      <c r="U5" s="1" t="s">
        <v>144</v>
      </c>
      <c r="V5" s="1" t="s">
        <v>144</v>
      </c>
      <c r="W5" s="1" t="s">
        <v>144</v>
      </c>
      <c r="X5" s="1" t="s">
        <v>143</v>
      </c>
      <c r="Y5" s="1" t="s">
        <v>143</v>
      </c>
      <c r="Z5" s="1" t="s">
        <v>143</v>
      </c>
      <c r="AA5" s="1" t="s">
        <v>144</v>
      </c>
      <c r="AB5" s="1" t="s">
        <v>144</v>
      </c>
      <c r="AC5" s="1" t="s">
        <v>144</v>
      </c>
      <c r="AF5" s="1" t="s">
        <v>143</v>
      </c>
      <c r="AG5" s="1" t="s">
        <v>144</v>
      </c>
    </row>
    <row r="6" spans="1:33" ht="20.25" customHeight="1" x14ac:dyDescent="0.2">
      <c r="A6" s="15" t="s">
        <v>10</v>
      </c>
      <c r="B6" s="81">
        <v>170952.27499999999</v>
      </c>
      <c r="C6" s="82"/>
    </row>
    <row r="7" spans="1:33" ht="20.25" customHeight="1" x14ac:dyDescent="0.2">
      <c r="A7" s="15" t="s">
        <v>108</v>
      </c>
      <c r="B7" s="81">
        <v>168581</v>
      </c>
      <c r="C7" s="82"/>
    </row>
    <row r="8" spans="1:33" ht="20.25" customHeight="1" x14ac:dyDescent="0.2">
      <c r="A8" s="15"/>
      <c r="B8" s="83"/>
      <c r="C8" s="84"/>
      <c r="K8" s="22"/>
      <c r="L8" s="22"/>
      <c r="M8" s="22"/>
      <c r="N8" s="22"/>
      <c r="O8" s="22"/>
      <c r="P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1:33" ht="20.25" customHeight="1" x14ac:dyDescent="0.2">
      <c r="A9" s="15" t="s">
        <v>1</v>
      </c>
      <c r="B9" s="72">
        <v>-159.69999999999999</v>
      </c>
      <c r="C9" s="73"/>
      <c r="D9" s="22">
        <f>B9+273.15</f>
        <v>113.44999999999999</v>
      </c>
      <c r="K9" s="22">
        <f>ROUNDDOWN($D$9,0.1)</f>
        <v>113</v>
      </c>
      <c r="L9" s="22">
        <f>ROUNDUP($D$9,0.1)</f>
        <v>114</v>
      </c>
      <c r="M9" s="22">
        <f>$D$9</f>
        <v>113.44999999999999</v>
      </c>
      <c r="N9" s="22">
        <f>ROUNDDOWN($D$9,0.1)</f>
        <v>113</v>
      </c>
      <c r="O9" s="22">
        <f>ROUNDUP($D$9,0.1)</f>
        <v>114</v>
      </c>
      <c r="P9" s="22">
        <f>$D$9</f>
        <v>113.44999999999999</v>
      </c>
      <c r="R9" s="22">
        <f>ROUNDDOWN($D$9,0.1)</f>
        <v>113</v>
      </c>
      <c r="S9" s="22">
        <f>ROUNDUP($D$9,0.1)</f>
        <v>114</v>
      </c>
      <c r="T9" s="22">
        <f>$D$9</f>
        <v>113.44999999999999</v>
      </c>
      <c r="U9" s="22">
        <f>ROUNDDOWN($D$9,0.1)</f>
        <v>113</v>
      </c>
      <c r="V9" s="22">
        <f>ROUNDUP($D$9,0.1)</f>
        <v>114</v>
      </c>
      <c r="W9" s="22">
        <f>$D$9</f>
        <v>113.44999999999999</v>
      </c>
      <c r="X9" s="22">
        <f>ROUNDDOWN($D$9,0.1)</f>
        <v>113</v>
      </c>
      <c r="Y9" s="22">
        <f>ROUNDUP($D$9,0.1)</f>
        <v>114</v>
      </c>
      <c r="Z9" s="22">
        <f>$D$9</f>
        <v>113.44999999999999</v>
      </c>
      <c r="AA9" s="22">
        <f>ROUNDDOWN($D$9,0.1)</f>
        <v>113</v>
      </c>
      <c r="AB9" s="22">
        <f>ROUNDUP($D$9,0.1)</f>
        <v>114</v>
      </c>
      <c r="AC9" s="22">
        <f>$D$9</f>
        <v>113.44999999999999</v>
      </c>
      <c r="AD9" s="1">
        <v>15</v>
      </c>
      <c r="AE9" s="1">
        <v>15</v>
      </c>
    </row>
    <row r="10" spans="1:33" ht="20.25" customHeight="1" x14ac:dyDescent="0.2">
      <c r="A10" s="15" t="s">
        <v>2</v>
      </c>
      <c r="B10" s="72">
        <v>-129.66999999999999</v>
      </c>
      <c r="C10" s="73"/>
      <c r="D10" s="22">
        <f>B10+273.15</f>
        <v>143.47999999999999</v>
      </c>
      <c r="K10" s="22"/>
      <c r="L10" s="22"/>
      <c r="M10" s="22"/>
      <c r="N10" s="22"/>
      <c r="O10" s="22"/>
      <c r="P10" s="22"/>
      <c r="R10" s="1">
        <f>ROUNDDOWN($F$22,0.1)</f>
        <v>16</v>
      </c>
      <c r="S10" s="22">
        <f>ROUNDUP($F$22,0.1)</f>
        <v>17</v>
      </c>
      <c r="T10" s="1">
        <f>$F$22</f>
        <v>16.610669473999998</v>
      </c>
      <c r="U10" s="1">
        <f>ROUNDDOWN($F$22,0.1)</f>
        <v>16</v>
      </c>
      <c r="V10" s="22">
        <f>ROUNDUP($F$22,0.1)</f>
        <v>17</v>
      </c>
      <c r="W10" s="1">
        <f>I22</f>
        <v>16.611259996999998</v>
      </c>
      <c r="X10" s="1">
        <f>ROUNDDOWN($F$22,0.1)</f>
        <v>16</v>
      </c>
      <c r="Y10" s="22">
        <f>ROUNDUP($F$22,0.1)</f>
        <v>17</v>
      </c>
      <c r="Z10" s="1">
        <f>$F$22</f>
        <v>16.610669473999998</v>
      </c>
      <c r="AA10" s="1">
        <f>ROUNDDOWN($F$22,0.1)</f>
        <v>16</v>
      </c>
      <c r="AB10" s="22">
        <f>ROUNDUP($F$22,0.1)</f>
        <v>17</v>
      </c>
      <c r="AC10" s="1">
        <f>I22</f>
        <v>16.611259996999998</v>
      </c>
    </row>
    <row r="11" spans="1:33" ht="20.25" customHeight="1" x14ac:dyDescent="0.2">
      <c r="A11" s="15" t="s">
        <v>3</v>
      </c>
      <c r="B11" s="72">
        <v>118.5</v>
      </c>
      <c r="C11" s="73"/>
    </row>
    <row r="12" spans="1:33" ht="20.25" customHeight="1" x14ac:dyDescent="0.2">
      <c r="A12" s="5"/>
      <c r="B12" s="85"/>
      <c r="C12" s="86"/>
      <c r="Q12" s="1">
        <v>16</v>
      </c>
      <c r="R12" s="1">
        <f>HLOOKUP(R$9,'ISO 6578 Tables'!$B$31:$AU$43,3)</f>
        <v>-8.6E-3</v>
      </c>
      <c r="S12" s="1">
        <f>HLOOKUP(S$9,'ISO 6578 Tables'!$B$31:$AU$43,3)</f>
        <v>-8.7999999999999988E-3</v>
      </c>
      <c r="T12" s="1">
        <f t="shared" ref="T12:T21" si="0">IF((S$9-R$9)=0,S12,S12-(S$9-T$9)*(S12-R12)/(S$9-R$9))</f>
        <v>-8.6899999999999963E-3</v>
      </c>
      <c r="U12" s="1">
        <f>HLOOKUP(U$9,'ISO 6578 Tables'!$B$31:$AU$43,3)</f>
        <v>-8.6E-3</v>
      </c>
      <c r="V12" s="1">
        <f>HLOOKUP(V$9,'ISO 6578 Tables'!$B$31:$AU$43,3)</f>
        <v>-8.7999999999999988E-3</v>
      </c>
      <c r="W12" s="1">
        <f t="shared" ref="W12:W21" si="1">IF((V$9-U$9)=0,V12,V12-(V$9-W$9)*(V12-U12)/(V$9-U$9))</f>
        <v>-8.6899999999999963E-3</v>
      </c>
      <c r="X12" s="1">
        <f>HLOOKUP(X$9,'ISO 6578 Tables'!$B$46:$AU$58,3)</f>
        <v>-2.0400000000000001E-2</v>
      </c>
      <c r="Y12" s="1">
        <f>HLOOKUP(Y$9,'ISO 6578 Tables'!$B$46:$AU$58,3)</f>
        <v>-2.2200000000000001E-2</v>
      </c>
      <c r="Z12" s="1">
        <f t="shared" ref="Z12:Z21" si="2">IF((Y$9-X$9)=0,Y12,Y12-(Y$9-Z$9)*(Y12-X12)/(Y$9-X$9))</f>
        <v>-2.1209999999999982E-2</v>
      </c>
      <c r="AA12" s="1">
        <f>HLOOKUP(AA$9,'ISO 6578 Tables'!$B$46:$AU$58,3)</f>
        <v>-2.0400000000000001E-2</v>
      </c>
      <c r="AB12" s="1">
        <f>HLOOKUP(AB$9,'ISO 6578 Tables'!$B$46:$AU$58,3)</f>
        <v>-2.2200000000000001E-2</v>
      </c>
      <c r="AC12" s="1">
        <f t="shared" ref="AC12:AC21" si="3">IF((AB$9-AA$9)=0,AB12,AB12-(AB$9-AC$9)*(AB12-AA12)/(AB$9-AA$9))</f>
        <v>-2.1209999999999982E-2</v>
      </c>
    </row>
    <row r="13" spans="1:33" ht="20.25" customHeight="1" x14ac:dyDescent="0.2">
      <c r="A13" s="6" t="s">
        <v>11</v>
      </c>
      <c r="B13" s="72">
        <v>96.12</v>
      </c>
      <c r="C13" s="73"/>
      <c r="E13" s="1">
        <f>B13/100</f>
        <v>0.96120000000000005</v>
      </c>
      <c r="F13" s="1">
        <f>E13*'ISO 6578 Tables'!B5</f>
        <v>15.420012551999999</v>
      </c>
      <c r="G13" s="1">
        <f>F13/$F$22</f>
        <v>0.92831975111757625</v>
      </c>
      <c r="H13" s="1">
        <f>E13*'ISO 6578 Tables'!D5</f>
        <v>4.2792624000000001E-2</v>
      </c>
      <c r="I13" s="1">
        <f>E13*'ISO 6578 Tables'!C5</f>
        <v>15.420560436000002</v>
      </c>
      <c r="J13" s="1">
        <f>I13/$I$22</f>
        <v>0.92831973244564014</v>
      </c>
      <c r="K13" s="1">
        <f>HLOOKUP(K$9,'ISO 6578 Tables'!$B$17:$AP$28,3)</f>
        <v>3.8128499999999996E-2</v>
      </c>
      <c r="L13" s="1">
        <f>HLOOKUP(L$9,'ISO 6578 Tables'!$B$17:$AP$28,3)</f>
        <v>3.8261999999999997E-2</v>
      </c>
      <c r="M13" s="1">
        <f t="shared" ref="M13:M21" si="4">IF((L$9-K$9)=0,L13,L13-(L$9-M$9)*(L13-K13)/(L$9-K$9))</f>
        <v>3.8188574999999995E-2</v>
      </c>
      <c r="N13" s="1">
        <f>$E13*K13</f>
        <v>3.6649114199999999E-2</v>
      </c>
      <c r="O13" s="1">
        <f>$E13*L13</f>
        <v>3.6777434399999996E-2</v>
      </c>
      <c r="P13" s="1">
        <f t="shared" ref="P13:P21" si="5">E13*M13</f>
        <v>3.6706858289999998E-2</v>
      </c>
      <c r="Q13" s="1">
        <v>17</v>
      </c>
      <c r="R13" s="1">
        <f>HLOOKUP(R$9,'ISO 6578 Tables'!$B$31:$AU$43,4)</f>
        <v>0.20399999999999999</v>
      </c>
      <c r="S13" s="1">
        <f>HLOOKUP(S$9,'ISO 6578 Tables'!$B$31:$AU$43,4)</f>
        <v>0.21199999999999999</v>
      </c>
      <c r="T13" s="1">
        <f t="shared" si="0"/>
        <v>0.2075999999999999</v>
      </c>
      <c r="U13" s="1">
        <f>HLOOKUP(U$9,'ISO 6578 Tables'!$B$31:$AU$43,4)</f>
        <v>0.20399999999999999</v>
      </c>
      <c r="V13" s="1">
        <f>HLOOKUP(V$9,'ISO 6578 Tables'!$B$31:$AU$43,4)</f>
        <v>0.21199999999999999</v>
      </c>
      <c r="W13" s="1">
        <f t="shared" si="1"/>
        <v>0.2075999999999999</v>
      </c>
      <c r="X13" s="1">
        <f>HLOOKUP(X$9,'ISO 6578 Tables'!$B$46:$AU$58,4)</f>
        <v>0.374</v>
      </c>
      <c r="Y13" s="1">
        <f>HLOOKUP(Y$9,'ISO 6578 Tables'!$B$46:$AU$58,4)</f>
        <v>0.39200000000000002</v>
      </c>
      <c r="Z13" s="1">
        <f t="shared" si="2"/>
        <v>0.38209999999999977</v>
      </c>
      <c r="AA13" s="1">
        <f>HLOOKUP(AA$9,'ISO 6578 Tables'!$B$46:$AU$58,4)</f>
        <v>0.374</v>
      </c>
      <c r="AB13" s="1">
        <f>HLOOKUP(AB$9,'ISO 6578 Tables'!$B$46:$AU$58,4)</f>
        <v>0.39200000000000002</v>
      </c>
      <c r="AC13" s="1">
        <f t="shared" si="3"/>
        <v>0.38209999999999977</v>
      </c>
      <c r="AD13" s="1">
        <f>E13*'ISO 6578 Tables'!F5</f>
        <v>36.241084800000003</v>
      </c>
      <c r="AE13" s="1">
        <f>G13*'ISO 6578 Tables'!E5</f>
        <v>51.591370168359305</v>
      </c>
      <c r="AF13" s="1">
        <f>F13*'ISO 6578 Tables'!E5</f>
        <v>856.96719757740004</v>
      </c>
      <c r="AG13" s="1">
        <f>I13*'ISO 6578 Tables'!E5</f>
        <v>856.99764623070018</v>
      </c>
    </row>
    <row r="14" spans="1:33" ht="20.25" customHeight="1" x14ac:dyDescent="0.2">
      <c r="A14" s="6" t="s">
        <v>12</v>
      </c>
      <c r="B14" s="72">
        <v>3.58</v>
      </c>
      <c r="C14" s="73"/>
      <c r="E14" s="1">
        <f t="shared" ref="E14:E21" si="6">B14/100</f>
        <v>3.5799999999999998E-2</v>
      </c>
      <c r="F14" s="1">
        <f>E14*'ISO 6578 Tables'!B6</f>
        <v>1.0764716320000001</v>
      </c>
      <c r="G14" s="1">
        <f t="shared" ref="G14:G21" si="7">F14/$F$22</f>
        <v>6.4806035282621036E-2</v>
      </c>
      <c r="H14" s="1">
        <f>E14*'ISO 6578 Tables'!D6</f>
        <v>3.2900199999999998E-3</v>
      </c>
      <c r="I14" s="1">
        <f>E14*'ISO 6578 Tables'!C6</f>
        <v>1.0765102959999999</v>
      </c>
      <c r="J14" s="1">
        <f t="shared" ref="J14:J21" si="8">I14/$I$22</f>
        <v>6.4806059034318783E-2</v>
      </c>
      <c r="K14" s="1">
        <f>HLOOKUP(K$9,'ISO 6578 Tables'!$B$17:$AP$28,4)</f>
        <v>4.79295E-2</v>
      </c>
      <c r="L14" s="1">
        <f>HLOOKUP(L$9,'ISO 6578 Tables'!$B$17:$AP$28,4)</f>
        <v>4.8014000000000001E-2</v>
      </c>
      <c r="M14" s="1">
        <f t="shared" si="4"/>
        <v>4.7967524999999997E-2</v>
      </c>
      <c r="N14" s="1">
        <f t="shared" ref="N14:O21" si="9">$E14*K14</f>
        <v>1.7158760999999999E-3</v>
      </c>
      <c r="O14" s="1">
        <f t="shared" si="9"/>
        <v>1.7189012E-3</v>
      </c>
      <c r="P14" s="1">
        <f t="shared" si="5"/>
        <v>1.7172373949999999E-3</v>
      </c>
      <c r="Q14" s="1">
        <v>18</v>
      </c>
      <c r="R14" s="1">
        <f>HLOOKUP(R$9,'ISO 6578 Tables'!$B$31:$AU$43,5)</f>
        <v>0.41399999999999998</v>
      </c>
      <c r="S14" s="1">
        <f>HLOOKUP(S$9,'ISO 6578 Tables'!$B$31:$AU$43,5)</f>
        <v>0.42699999999999999</v>
      </c>
      <c r="T14" s="1">
        <f t="shared" si="0"/>
        <v>0.41984999999999983</v>
      </c>
      <c r="U14" s="1">
        <f>HLOOKUP(U$9,'ISO 6578 Tables'!$B$31:$AU$43,5)</f>
        <v>0.41399999999999998</v>
      </c>
      <c r="V14" s="1">
        <f>HLOOKUP(V$9,'ISO 6578 Tables'!$B$31:$AU$43,5)</f>
        <v>0.42699999999999999</v>
      </c>
      <c r="W14" s="1">
        <f t="shared" si="1"/>
        <v>0.41984999999999983</v>
      </c>
      <c r="X14" s="1">
        <f>HLOOKUP(X$9,'ISO 6578 Tables'!$B$46:$AU$58,5)</f>
        <v>0.66799999999999993</v>
      </c>
      <c r="Y14" s="1">
        <f>HLOOKUP(Y$9,'ISO 6578 Tables'!$B$46:$AU$58,5)</f>
        <v>0.69399999999999995</v>
      </c>
      <c r="Z14" s="1">
        <f t="shared" si="2"/>
        <v>0.67969999999999964</v>
      </c>
      <c r="AA14" s="1">
        <f>HLOOKUP(AA$9,'ISO 6578 Tables'!$B$46:$AU$58,5)</f>
        <v>0.66799999999999993</v>
      </c>
      <c r="AB14" s="1">
        <f>HLOOKUP(AB$9,'ISO 6578 Tables'!$B$46:$AU$58,5)</f>
        <v>0.69399999999999995</v>
      </c>
      <c r="AC14" s="1">
        <f t="shared" si="3"/>
        <v>0.67969999999999964</v>
      </c>
      <c r="AD14" s="1">
        <f>E14*'ISO 6578 Tables'!F6</f>
        <v>2.3653059999999995</v>
      </c>
      <c r="AE14" s="1">
        <f>G14*'ISO 6578 Tables'!E6</f>
        <v>3.3667383389674455</v>
      </c>
      <c r="AF14" s="1">
        <f>F14*'ISO 6578 Tables'!E6</f>
        <v>55.923777754032002</v>
      </c>
      <c r="AG14" s="1">
        <f>I14*'ISO 6578 Tables'!E6</f>
        <v>55.925786387495997</v>
      </c>
    </row>
    <row r="15" spans="1:33" s="8" customFormat="1" ht="20.25" customHeight="1" x14ac:dyDescent="0.2">
      <c r="A15" s="6" t="s">
        <v>13</v>
      </c>
      <c r="B15" s="72">
        <v>0.15</v>
      </c>
      <c r="C15" s="73"/>
      <c r="E15" s="1">
        <f t="shared" si="6"/>
        <v>1.5E-3</v>
      </c>
      <c r="F15" s="1">
        <f>E15*'ISO 6578 Tables'!B7</f>
        <v>6.6143430000000003E-2</v>
      </c>
      <c r="G15" s="1">
        <f t="shared" si="7"/>
        <v>3.9819845975221898E-3</v>
      </c>
      <c r="H15" s="1">
        <f>E15*'ISO 6578 Tables'!D7</f>
        <v>2.0159999999999999E-4</v>
      </c>
      <c r="I15" s="1">
        <f>E15*'ISO 6578 Tables'!C7</f>
        <v>6.6145814999999997E-2</v>
      </c>
      <c r="J15" s="1">
        <f t="shared" si="8"/>
        <v>3.9819866170264003E-3</v>
      </c>
      <c r="K15" s="1">
        <f>HLOOKUP(K$9,'ISO 6578 Tables'!$B$17:$AP$28,5)</f>
        <v>6.2483000000000004E-2</v>
      </c>
      <c r="L15" s="1">
        <f>HLOOKUP(L$9,'ISO 6578 Tables'!$B$17:$AP$28,5)</f>
        <v>6.2574000000000005E-2</v>
      </c>
      <c r="M15" s="1">
        <f t="shared" si="4"/>
        <v>6.2523950000000009E-2</v>
      </c>
      <c r="N15" s="1">
        <f t="shared" si="9"/>
        <v>9.3724500000000007E-5</v>
      </c>
      <c r="O15" s="1">
        <f t="shared" si="9"/>
        <v>9.3861000000000015E-5</v>
      </c>
      <c r="P15" s="1">
        <f t="shared" si="5"/>
        <v>9.3785925000000015E-5</v>
      </c>
      <c r="Q15" s="1">
        <v>19</v>
      </c>
      <c r="R15" s="1">
        <f>HLOOKUP(R$9,'ISO 6578 Tables'!$B$31:$AU$43,6)</f>
        <v>0.57999999999999996</v>
      </c>
      <c r="S15" s="1">
        <f>HLOOKUP(S$9,'ISO 6578 Tables'!$B$31:$AU$43,6)</f>
        <v>0.59499999999999997</v>
      </c>
      <c r="T15" s="1">
        <f t="shared" si="0"/>
        <v>0.58674999999999977</v>
      </c>
      <c r="U15" s="1">
        <f>HLOOKUP(U$9,'ISO 6578 Tables'!$B$31:$AU$43,6)</f>
        <v>0.57999999999999996</v>
      </c>
      <c r="V15" s="1">
        <f>HLOOKUP(V$9,'ISO 6578 Tables'!$B$31:$AU$43,6)</f>
        <v>0.59499999999999997</v>
      </c>
      <c r="W15" s="1">
        <f t="shared" si="1"/>
        <v>0.58674999999999977</v>
      </c>
      <c r="X15" s="1">
        <f>HLOOKUP(X$9,'ISO 6578 Tables'!$B$46:$AU$58,6)</f>
        <v>0.878</v>
      </c>
      <c r="Y15" s="1">
        <f>HLOOKUP(Y$9,'ISO 6578 Tables'!$B$46:$AU$58,6)</f>
        <v>0.91399999999999992</v>
      </c>
      <c r="Z15" s="1">
        <f t="shared" si="2"/>
        <v>0.89419999999999955</v>
      </c>
      <c r="AA15" s="1">
        <f>HLOOKUP(AA$9,'ISO 6578 Tables'!$B$46:$AU$58,6)</f>
        <v>0.878</v>
      </c>
      <c r="AB15" s="1">
        <f>HLOOKUP(AB$9,'ISO 6578 Tables'!$B$46:$AU$58,6)</f>
        <v>0.91399999999999992</v>
      </c>
      <c r="AC15" s="1">
        <f t="shared" si="3"/>
        <v>0.89419999999999955</v>
      </c>
      <c r="AD15" s="1">
        <f>E15*'ISO 6578 Tables'!F7</f>
        <v>0.14091000000000001</v>
      </c>
      <c r="AE15" s="1">
        <f>G15*'ISO 6578 Tables'!E7</f>
        <v>0.20056858219259519</v>
      </c>
      <c r="AF15" s="1">
        <f>F15*'ISO 6578 Tables'!E7</f>
        <v>3.3315784256700001</v>
      </c>
      <c r="AG15" s="1">
        <f>I15*'ISO 6578 Tables'!E7</f>
        <v>3.3316985557349996</v>
      </c>
    </row>
    <row r="16" spans="1:33" ht="20.25" customHeight="1" x14ac:dyDescent="0.2">
      <c r="A16" s="6" t="s">
        <v>14</v>
      </c>
      <c r="B16" s="72">
        <v>0.01</v>
      </c>
      <c r="C16" s="73"/>
      <c r="E16" s="1">
        <f t="shared" si="6"/>
        <v>1E-4</v>
      </c>
      <c r="F16" s="1">
        <f>E16*'ISO 6578 Tables'!B8</f>
        <v>5.8122199999999999E-3</v>
      </c>
      <c r="G16" s="1">
        <f t="shared" si="7"/>
        <v>3.4990883474610282E-4</v>
      </c>
      <c r="H16" s="1">
        <f>E16*'ISO 6578 Tables'!D8</f>
        <v>1.7220000000000001E-5</v>
      </c>
      <c r="I16" s="1">
        <f>E16*'ISO 6578 Tables'!C8</f>
        <v>5.8124300000000004E-3</v>
      </c>
      <c r="J16" s="1">
        <f t="shared" si="8"/>
        <v>3.4990903766780656E-4</v>
      </c>
      <c r="K16" s="1">
        <f>HLOOKUP(K$9,'ISO 6578 Tables'!$B$17:$AP$28,6)</f>
        <v>7.833699999999999E-2</v>
      </c>
      <c r="L16" s="1">
        <f>HLOOKUP(L$9,'ISO 6578 Tables'!$B$17:$AP$28,6)</f>
        <v>7.8437999999999994E-2</v>
      </c>
      <c r="M16" s="1">
        <f t="shared" si="4"/>
        <v>7.8382449999999992E-2</v>
      </c>
      <c r="N16" s="1">
        <f t="shared" si="9"/>
        <v>7.8336999999999992E-6</v>
      </c>
      <c r="O16" s="1">
        <f t="shared" si="9"/>
        <v>7.8437999999999993E-6</v>
      </c>
      <c r="P16" s="1">
        <f t="shared" si="5"/>
        <v>7.8382450000000004E-6</v>
      </c>
      <c r="Q16" s="1">
        <v>20</v>
      </c>
      <c r="R16" s="1">
        <f>HLOOKUP(R$9,'ISO 6578 Tables'!$B$31:$AU$43,7)</f>
        <v>0.77600000000000002</v>
      </c>
      <c r="S16" s="1">
        <f>HLOOKUP(S$9,'ISO 6578 Tables'!$B$31:$AU$43,7)</f>
        <v>0.79300000000000004</v>
      </c>
      <c r="T16" s="1">
        <f t="shared" si="0"/>
        <v>0.78364999999999985</v>
      </c>
      <c r="U16" s="1">
        <f>HLOOKUP(U$9,'ISO 6578 Tables'!$B$31:$AU$43,7)</f>
        <v>0.77600000000000002</v>
      </c>
      <c r="V16" s="1">
        <f>HLOOKUP(V$9,'ISO 6578 Tables'!$B$31:$AU$43,7)</f>
        <v>0.79300000000000004</v>
      </c>
      <c r="W16" s="1">
        <f t="shared" si="1"/>
        <v>0.78364999999999985</v>
      </c>
      <c r="X16" s="1">
        <f>HLOOKUP(X$9,'ISO 6578 Tables'!$B$46:$AU$58,7)</f>
        <v>1.0580000000000001</v>
      </c>
      <c r="Y16" s="1">
        <f>HLOOKUP(Y$9,'ISO 6578 Tables'!$B$46:$AU$58,7)</f>
        <v>1.1039999999999999</v>
      </c>
      <c r="Z16" s="1">
        <f t="shared" si="2"/>
        <v>1.0786999999999995</v>
      </c>
      <c r="AA16" s="1">
        <f>HLOOKUP(AA$9,'ISO 6578 Tables'!$B$46:$AU$58,7)</f>
        <v>1.0580000000000001</v>
      </c>
      <c r="AB16" s="1">
        <f>HLOOKUP(AB$9,'ISO 6578 Tables'!$B$46:$AU$58,7)</f>
        <v>1.1039999999999999</v>
      </c>
      <c r="AC16" s="1">
        <f t="shared" si="3"/>
        <v>1.0786999999999995</v>
      </c>
      <c r="AD16" s="1">
        <f>E16*'ISO 6578 Tables'!F8</f>
        <v>1.2140000000000001E-2</v>
      </c>
      <c r="AE16" s="1">
        <f>G16*'ISO 6578 Tables'!E8</f>
        <v>1.7281297530440526E-2</v>
      </c>
      <c r="AF16" s="1">
        <f>F16*'ISO 6578 Tables'!E8</f>
        <v>0.28705392135999996</v>
      </c>
      <c r="AG16" s="1">
        <f>I16*'ISO 6578 Tables'!E8</f>
        <v>0.28706429284000001</v>
      </c>
    </row>
    <row r="17" spans="1:33" ht="20.25" customHeight="1" x14ac:dyDescent="0.2">
      <c r="A17" s="6" t="s">
        <v>15</v>
      </c>
      <c r="B17" s="72">
        <v>0.01</v>
      </c>
      <c r="C17" s="73"/>
      <c r="E17" s="1">
        <f t="shared" si="6"/>
        <v>1E-4</v>
      </c>
      <c r="F17" s="1">
        <f>E17*'ISO 6578 Tables'!B9</f>
        <v>5.8122199999999999E-3</v>
      </c>
      <c r="G17" s="1">
        <f t="shared" si="7"/>
        <v>3.4990883474610282E-4</v>
      </c>
      <c r="H17" s="1">
        <f>E17*'ISO 6578 Tables'!D9</f>
        <v>1.84E-5</v>
      </c>
      <c r="I17" s="1">
        <f>E17*'ISO 6578 Tables'!C9</f>
        <v>5.8124300000000004E-3</v>
      </c>
      <c r="J17" s="1">
        <f t="shared" si="8"/>
        <v>3.4990903766780656E-4</v>
      </c>
      <c r="K17" s="1">
        <f>HLOOKUP(K$9,'ISO 6578 Tables'!$B$17:$AP$28,7)</f>
        <v>7.6860999999999999E-2</v>
      </c>
      <c r="L17" s="1">
        <f>HLOOKUP(L$9,'ISO 6578 Tables'!$B$17:$AP$28,7)</f>
        <v>7.6956999999999998E-2</v>
      </c>
      <c r="M17" s="1">
        <f t="shared" si="4"/>
        <v>7.6904199999999992E-2</v>
      </c>
      <c r="N17" s="1">
        <f t="shared" si="9"/>
        <v>7.6861000000000008E-6</v>
      </c>
      <c r="O17" s="1">
        <f t="shared" si="9"/>
        <v>7.6956999999999999E-6</v>
      </c>
      <c r="P17" s="1">
        <f t="shared" si="5"/>
        <v>7.6904199999999998E-6</v>
      </c>
      <c r="Q17" s="1">
        <v>21</v>
      </c>
      <c r="R17" s="1">
        <f>HLOOKUP(R$9,'ISO 6578 Tables'!$B$31:$AU$43,8)</f>
        <v>0.90099999999999991</v>
      </c>
      <c r="S17" s="1">
        <f>HLOOKUP(S$9,'ISO 6578 Tables'!$B$31:$AU$43,8)</f>
        <v>0.92299999999999993</v>
      </c>
      <c r="T17" s="1">
        <f t="shared" si="0"/>
        <v>0.91089999999999971</v>
      </c>
      <c r="U17" s="1">
        <f>HLOOKUP(U$9,'ISO 6578 Tables'!$B$31:$AU$43,8)</f>
        <v>0.90099999999999991</v>
      </c>
      <c r="V17" s="1">
        <f>HLOOKUP(V$9,'ISO 6578 Tables'!$B$31:$AU$43,8)</f>
        <v>0.92299999999999993</v>
      </c>
      <c r="W17" s="1">
        <f t="shared" si="1"/>
        <v>0.91089999999999971</v>
      </c>
      <c r="X17" s="1">
        <f>HLOOKUP(X$9,'ISO 6578 Tables'!$B$46:$AU$58,8)</f>
        <v>1.1599999999999999</v>
      </c>
      <c r="Y17" s="1">
        <f>HLOOKUP(Y$9,'ISO 6578 Tables'!$B$46:$AU$58,8)</f>
        <v>1.19</v>
      </c>
      <c r="Z17" s="1">
        <f t="shared" si="2"/>
        <v>1.1734999999999995</v>
      </c>
      <c r="AA17" s="1">
        <f>HLOOKUP(AA$9,'ISO 6578 Tables'!$B$46:$AU$58,8)</f>
        <v>1.1599999999999999</v>
      </c>
      <c r="AB17" s="1">
        <f>HLOOKUP(AB$9,'ISO 6578 Tables'!$B$46:$AU$58,8)</f>
        <v>1.19</v>
      </c>
      <c r="AC17" s="1">
        <f t="shared" si="3"/>
        <v>1.1734999999999995</v>
      </c>
      <c r="AD17" s="1">
        <f>E17*'ISO 6578 Tables'!F9</f>
        <v>1.2179000000000001E-2</v>
      </c>
      <c r="AE17" s="1">
        <f>G17*'ISO 6578 Tables'!E9</f>
        <v>1.7336583126330411E-2</v>
      </c>
      <c r="AF17" s="1">
        <f>F17*'ISO 6578 Tables'!E9</f>
        <v>0.28797225211999999</v>
      </c>
      <c r="AG17" s="1">
        <f>I17*'ISO 6578 Tables'!E9</f>
        <v>0.28798265678000001</v>
      </c>
    </row>
    <row r="18" spans="1:33" ht="20.25" customHeight="1" x14ac:dyDescent="0.2">
      <c r="A18" s="6" t="s">
        <v>16</v>
      </c>
      <c r="B18" s="72">
        <v>0</v>
      </c>
      <c r="C18" s="73"/>
      <c r="E18" s="1">
        <f t="shared" si="6"/>
        <v>0</v>
      </c>
      <c r="F18" s="1">
        <f>E18*'ISO 6578 Tables'!B10</f>
        <v>0</v>
      </c>
      <c r="G18" s="1">
        <f t="shared" si="7"/>
        <v>0</v>
      </c>
      <c r="H18" s="1">
        <f>E18*'ISO 6578 Tables'!D10</f>
        <v>0</v>
      </c>
      <c r="I18" s="1">
        <f>E18*'ISO 6578 Tables'!C10</f>
        <v>0</v>
      </c>
      <c r="J18" s="1">
        <f t="shared" si="8"/>
        <v>0</v>
      </c>
      <c r="K18" s="1">
        <f>HLOOKUP(K$9,'ISO 6578 Tables'!$B$17:$AP$28,8)</f>
        <v>9.1705000000000009E-2</v>
      </c>
      <c r="L18" s="1">
        <f>HLOOKUP(L$9,'ISO 6578 Tables'!$B$17:$AP$28,8)</f>
        <v>9.1814000000000007E-2</v>
      </c>
      <c r="M18" s="1">
        <f t="shared" si="4"/>
        <v>9.1754050000000004E-2</v>
      </c>
      <c r="N18" s="1">
        <f t="shared" si="9"/>
        <v>0</v>
      </c>
      <c r="O18" s="1">
        <f t="shared" si="9"/>
        <v>0</v>
      </c>
      <c r="P18" s="1">
        <f t="shared" si="5"/>
        <v>0</v>
      </c>
      <c r="Q18" s="1">
        <v>22</v>
      </c>
      <c r="R18" s="1">
        <f>HLOOKUP(R$9,'ISO 6578 Tables'!$B$31:$AU$43,9)</f>
        <v>1.0189999999999999</v>
      </c>
      <c r="S18" s="1">
        <f>HLOOKUP(S$9,'ISO 6578 Tables'!$B$31:$AU$43,9)</f>
        <v>1.042</v>
      </c>
      <c r="T18" s="1">
        <f t="shared" si="0"/>
        <v>1.0293499999999998</v>
      </c>
      <c r="U18" s="1">
        <f>HLOOKUP(U$9,'ISO 6578 Tables'!$B$31:$AU$43,9)</f>
        <v>1.0189999999999999</v>
      </c>
      <c r="V18" s="1">
        <f>HLOOKUP(V$9,'ISO 6578 Tables'!$B$31:$AU$43,9)</f>
        <v>1.042</v>
      </c>
      <c r="W18" s="1">
        <f t="shared" si="1"/>
        <v>1.0293499999999998</v>
      </c>
      <c r="X18" s="1">
        <f>HLOOKUP(X$9,'ISO 6578 Tables'!$B$46:$AU$58,9)</f>
        <v>1.268</v>
      </c>
      <c r="Y18" s="1">
        <f>HLOOKUP(Y$9,'ISO 6578 Tables'!$B$46:$AU$58,9)</f>
        <v>1.284</v>
      </c>
      <c r="Z18" s="1">
        <f t="shared" si="2"/>
        <v>1.2751999999999999</v>
      </c>
      <c r="AA18" s="1">
        <f>HLOOKUP(AA$9,'ISO 6578 Tables'!$B$46:$AU$58,9)</f>
        <v>1.268</v>
      </c>
      <c r="AB18" s="1">
        <f>HLOOKUP(AB$9,'ISO 6578 Tables'!$B$46:$AU$58,9)</f>
        <v>1.284</v>
      </c>
      <c r="AC18" s="1">
        <f t="shared" si="3"/>
        <v>1.2751999999999999</v>
      </c>
      <c r="AD18" s="1">
        <f>E18*'ISO 6578 Tables'!F10</f>
        <v>0</v>
      </c>
      <c r="AE18" s="1">
        <f>G18*'ISO 6578 Tables'!E10</f>
        <v>0</v>
      </c>
      <c r="AF18" s="1">
        <f>F18*'ISO 6578 Tables'!E10</f>
        <v>0</v>
      </c>
      <c r="AG18" s="1">
        <f>I18*'ISO 6578 Tables'!E10</f>
        <v>0</v>
      </c>
    </row>
    <row r="19" spans="1:33" ht="20.25" customHeight="1" x14ac:dyDescent="0.2">
      <c r="A19" s="6" t="s">
        <v>17</v>
      </c>
      <c r="B19" s="72">
        <v>0</v>
      </c>
      <c r="C19" s="73"/>
      <c r="E19" s="1">
        <f t="shared" si="6"/>
        <v>0</v>
      </c>
      <c r="F19" s="1">
        <f>E19*'ISO 6578 Tables'!B11</f>
        <v>0</v>
      </c>
      <c r="G19" s="1">
        <f t="shared" si="7"/>
        <v>0</v>
      </c>
      <c r="H19" s="1">
        <f>E19*'ISO 6578 Tables'!D11</f>
        <v>0</v>
      </c>
      <c r="I19" s="1">
        <f>E19*'ISO 6578 Tables'!C11</f>
        <v>0</v>
      </c>
      <c r="J19" s="1">
        <f t="shared" si="8"/>
        <v>0</v>
      </c>
      <c r="K19" s="1">
        <f>HLOOKUP(K$9,'ISO 6578 Tables'!$B$17:$AP$28,9)</f>
        <v>9.1567499999999996E-2</v>
      </c>
      <c r="L19" s="1">
        <f>HLOOKUP(L$9,'ISO 6578 Tables'!$B$17:$AP$28,9)</f>
        <v>9.1673000000000004E-2</v>
      </c>
      <c r="M19" s="1">
        <f t="shared" si="4"/>
        <v>9.1614975000000001E-2</v>
      </c>
      <c r="N19" s="1">
        <f t="shared" si="9"/>
        <v>0</v>
      </c>
      <c r="O19" s="1">
        <f t="shared" si="9"/>
        <v>0</v>
      </c>
      <c r="P19" s="1">
        <f t="shared" si="5"/>
        <v>0</v>
      </c>
      <c r="Q19" s="1">
        <v>23</v>
      </c>
      <c r="R19" s="1">
        <f>HLOOKUP(R$9,'ISO 6578 Tables'!$B$31:$AU$43,10)</f>
        <v>1.1299999999999999</v>
      </c>
      <c r="S19" s="1">
        <f>HLOOKUP(S$9,'ISO 6578 Tables'!$B$31:$AU$43,10)</f>
        <v>1.155</v>
      </c>
      <c r="T19" s="1">
        <f t="shared" si="0"/>
        <v>1.1412499999999997</v>
      </c>
      <c r="U19" s="1">
        <f>HLOOKUP(U$9,'ISO 6578 Tables'!$B$31:$AU$43,10)</f>
        <v>1.1299999999999999</v>
      </c>
      <c r="V19" s="1">
        <f>HLOOKUP(V$9,'ISO 6578 Tables'!$B$31:$AU$43,10)</f>
        <v>1.155</v>
      </c>
      <c r="W19" s="1">
        <f t="shared" si="1"/>
        <v>1.1412499999999997</v>
      </c>
      <c r="X19" s="1">
        <f>HLOOKUP(X$9,'ISO 6578 Tables'!$B$46:$AU$58,10)</f>
        <v>1.4179999999999999</v>
      </c>
      <c r="Y19" s="1">
        <f>HLOOKUP(Y$9,'ISO 6578 Tables'!$B$46:$AU$58,10)</f>
        <v>1.4339999999999999</v>
      </c>
      <c r="Z19" s="1">
        <f t="shared" si="2"/>
        <v>1.4251999999999998</v>
      </c>
      <c r="AA19" s="1">
        <f>HLOOKUP(AA$9,'ISO 6578 Tables'!$B$46:$AU$58,10)</f>
        <v>1.4179999999999999</v>
      </c>
      <c r="AB19" s="1">
        <f>HLOOKUP(AB$9,'ISO 6578 Tables'!$B$46:$AU$58,10)</f>
        <v>1.4339999999999999</v>
      </c>
      <c r="AC19" s="1">
        <f t="shared" si="3"/>
        <v>1.4251999999999998</v>
      </c>
      <c r="AD19" s="1">
        <f>E19*'ISO 6578 Tables'!F11</f>
        <v>0</v>
      </c>
      <c r="AE19" s="1">
        <f>G19*'ISO 6578 Tables'!E11</f>
        <v>0</v>
      </c>
      <c r="AF19" s="1">
        <f>F19*'ISO 6578 Tables'!E11</f>
        <v>0</v>
      </c>
      <c r="AG19" s="1">
        <f>I19*'ISO 6578 Tables'!E11</f>
        <v>0</v>
      </c>
    </row>
    <row r="20" spans="1:33" ht="20.25" customHeight="1" x14ac:dyDescent="0.2">
      <c r="A20" s="6" t="s">
        <v>18</v>
      </c>
      <c r="B20" s="72">
        <v>0</v>
      </c>
      <c r="C20" s="73"/>
      <c r="E20" s="1">
        <f t="shared" si="6"/>
        <v>0</v>
      </c>
      <c r="F20" s="1">
        <f>E20*'ISO 6578 Tables'!B12</f>
        <v>0</v>
      </c>
      <c r="G20" s="1">
        <f t="shared" si="7"/>
        <v>0</v>
      </c>
      <c r="H20" s="1">
        <f>E20*'ISO 6578 Tables'!D12</f>
        <v>0</v>
      </c>
      <c r="I20" s="1">
        <f>E20*'ISO 6578 Tables'!C12</f>
        <v>0</v>
      </c>
      <c r="J20" s="1">
        <f t="shared" si="8"/>
        <v>0</v>
      </c>
      <c r="K20" s="1">
        <f>HLOOKUP(K$9,'ISO 6578 Tables'!$B$17:$AP$28,10)</f>
        <v>0.10627400000000001</v>
      </c>
      <c r="L20" s="1">
        <f>HLOOKUP(L$9,'ISO 6578 Tables'!$B$17:$AP$28,10)</f>
        <v>0.10638900000000001</v>
      </c>
      <c r="M20" s="1">
        <f t="shared" si="4"/>
        <v>0.10632575000000001</v>
      </c>
      <c r="N20" s="1">
        <f t="shared" si="9"/>
        <v>0</v>
      </c>
      <c r="O20" s="1">
        <f t="shared" si="9"/>
        <v>0</v>
      </c>
      <c r="P20" s="1">
        <f t="shared" si="5"/>
        <v>0</v>
      </c>
      <c r="Q20" s="1">
        <v>24</v>
      </c>
      <c r="R20" s="1">
        <f>HLOOKUP(R$9,'ISO 6578 Tables'!$B$31:$AU$43,11)</f>
        <v>1.23</v>
      </c>
      <c r="S20" s="1">
        <f>HLOOKUP(S$9,'ISO 6578 Tables'!$B$31:$AU$43,11)</f>
        <v>1.2550000000000001</v>
      </c>
      <c r="T20" s="1">
        <f t="shared" si="0"/>
        <v>1.2412499999999997</v>
      </c>
      <c r="U20" s="1">
        <f>HLOOKUP(U$9,'ISO 6578 Tables'!$B$31:$AU$43,11)</f>
        <v>1.23</v>
      </c>
      <c r="V20" s="1">
        <f>HLOOKUP(V$9,'ISO 6578 Tables'!$B$31:$AU$43,11)</f>
        <v>1.2550000000000001</v>
      </c>
      <c r="W20" s="1">
        <f t="shared" si="1"/>
        <v>1.2412499999999997</v>
      </c>
      <c r="X20" s="1">
        <f>HLOOKUP(X$9,'ISO 6578 Tables'!$B$46:$AU$58,11)</f>
        <v>1.5979999999999999</v>
      </c>
      <c r="Y20" s="1">
        <f>HLOOKUP(Y$9,'ISO 6578 Tables'!$B$46:$AU$58,11)</f>
        <v>1.6239999999999999</v>
      </c>
      <c r="Z20" s="1">
        <f t="shared" si="2"/>
        <v>1.6096999999999997</v>
      </c>
      <c r="AA20" s="1">
        <f>HLOOKUP(AA$9,'ISO 6578 Tables'!$B$46:$AU$58,11)</f>
        <v>1.5979999999999999</v>
      </c>
      <c r="AB20" s="1">
        <f>HLOOKUP(AB$9,'ISO 6578 Tables'!$B$46:$AU$58,11)</f>
        <v>1.6239999999999999</v>
      </c>
      <c r="AC20" s="1">
        <f t="shared" si="3"/>
        <v>1.6096999999999997</v>
      </c>
      <c r="AD20" s="1">
        <f>E20*'ISO 6578 Tables'!F12</f>
        <v>0</v>
      </c>
      <c r="AE20" s="1">
        <f>G20*'ISO 6578 Tables'!E12</f>
        <v>0</v>
      </c>
      <c r="AF20" s="1">
        <f>F20*'ISO 6578 Tables'!E12</f>
        <v>0</v>
      </c>
      <c r="AG20" s="1">
        <f>I20*'ISO 6578 Tables'!E12</f>
        <v>0</v>
      </c>
    </row>
    <row r="21" spans="1:33" ht="20.25" customHeight="1" x14ac:dyDescent="0.2">
      <c r="A21" s="6" t="s">
        <v>19</v>
      </c>
      <c r="B21" s="72">
        <v>0.13</v>
      </c>
      <c r="C21" s="73"/>
      <c r="E21" s="1">
        <f t="shared" si="6"/>
        <v>1.2999999999999999E-3</v>
      </c>
      <c r="F21" s="1">
        <f>E21*'ISO 6578 Tables'!B13</f>
        <v>3.6417419999999999E-2</v>
      </c>
      <c r="G21" s="1">
        <f t="shared" si="7"/>
        <v>2.1924113327884045E-3</v>
      </c>
      <c r="H21" s="1">
        <f>E21*'ISO 6578 Tables'!D13</f>
        <v>2.2100000000000002E-5</v>
      </c>
      <c r="I21" s="1">
        <f>E21*'ISO 6578 Tables'!C13</f>
        <v>3.6418589999999994E-2</v>
      </c>
      <c r="J21" s="1">
        <f t="shared" si="8"/>
        <v>2.1924038276793698E-3</v>
      </c>
      <c r="K21" s="1">
        <f>HLOOKUP(K$9,'ISO 6578 Tables'!$B$17:$AP$28,11)</f>
        <v>4.69165E-2</v>
      </c>
      <c r="L21" s="1">
        <f>HLOOKUP(L$9,'ISO 6578 Tables'!$B$17:$AP$28,11)</f>
        <v>4.7601999999999998E-2</v>
      </c>
      <c r="M21" s="1">
        <f t="shared" si="4"/>
        <v>4.7224974999999988E-2</v>
      </c>
      <c r="N21" s="1">
        <f t="shared" si="9"/>
        <v>6.0991449999999997E-5</v>
      </c>
      <c r="O21" s="1">
        <f t="shared" si="9"/>
        <v>6.1882599999999989E-5</v>
      </c>
      <c r="P21" s="1">
        <f t="shared" si="5"/>
        <v>6.1392467499999986E-5</v>
      </c>
      <c r="Q21" s="1">
        <v>25</v>
      </c>
      <c r="R21" s="1">
        <f>HLOOKUP(R$9,'ISO 6578 Tables'!$B$31:$AU$43,12)</f>
        <v>1.3260000000000001</v>
      </c>
      <c r="S21" s="1">
        <f>HLOOKUP(S$9,'ISO 6578 Tables'!$B$31:$AU$43,12)</f>
        <v>1.353</v>
      </c>
      <c r="T21" s="1">
        <f t="shared" si="0"/>
        <v>1.3381499999999997</v>
      </c>
      <c r="U21" s="1">
        <f>HLOOKUP(U$9,'ISO 6578 Tables'!$B$31:$AU$43,12)</f>
        <v>1.3260000000000001</v>
      </c>
      <c r="V21" s="1">
        <f>HLOOKUP(V$9,'ISO 6578 Tables'!$B$31:$AU$43,12)</f>
        <v>1.353</v>
      </c>
      <c r="W21" s="1">
        <f t="shared" si="1"/>
        <v>1.3381499999999997</v>
      </c>
      <c r="X21" s="1">
        <f>HLOOKUP(X$9,'ISO 6578 Tables'!$B$46:$AU$58,12)</f>
        <v>1.8839999999999999</v>
      </c>
      <c r="Y21" s="1">
        <f>HLOOKUP(Y$9,'ISO 6578 Tables'!$B$46:$AU$58,12)</f>
        <v>1.9419999999999999</v>
      </c>
      <c r="Z21" s="1">
        <f t="shared" si="2"/>
        <v>1.9100999999999992</v>
      </c>
      <c r="AA21" s="1">
        <f>HLOOKUP(AA$9,'ISO 6578 Tables'!$B$46:$AU$58,12)</f>
        <v>1.8839999999999999</v>
      </c>
      <c r="AB21" s="1">
        <f>HLOOKUP(AB$9,'ISO 6578 Tables'!$B$46:$AU$58,12)</f>
        <v>1.9419999999999999</v>
      </c>
      <c r="AC21" s="1">
        <f t="shared" si="3"/>
        <v>1.9100999999999992</v>
      </c>
      <c r="AD21" s="1">
        <f>E21*'ISO 6578 Tables'!F13</f>
        <v>0</v>
      </c>
      <c r="AE21" s="1">
        <f>G21*'ISO 6578 Tables'!E13</f>
        <v>0</v>
      </c>
      <c r="AF21" s="1">
        <f>F21*'ISO 6578 Tables'!E13</f>
        <v>0</v>
      </c>
      <c r="AG21" s="1">
        <f>I21*'ISO 6578 Tables'!E13</f>
        <v>0</v>
      </c>
    </row>
    <row r="22" spans="1:33" s="8" customFormat="1" ht="20.25" customHeight="1" thickBot="1" x14ac:dyDescent="0.25">
      <c r="A22" s="7" t="s">
        <v>0</v>
      </c>
      <c r="B22" s="74">
        <f>SUM(B13:B21)</f>
        <v>100.00000000000001</v>
      </c>
      <c r="C22" s="75"/>
      <c r="E22" s="8">
        <f>SUM(E13:E21)</f>
        <v>1</v>
      </c>
      <c r="F22" s="8">
        <f t="shared" ref="F22:J22" si="10">SUM(F13:F21)</f>
        <v>16.610669473999998</v>
      </c>
      <c r="G22" s="8">
        <f t="shared" si="10"/>
        <v>1</v>
      </c>
      <c r="H22" s="8">
        <f t="shared" si="10"/>
        <v>4.6341963999999999E-2</v>
      </c>
      <c r="I22" s="8">
        <f t="shared" si="10"/>
        <v>16.611259996999998</v>
      </c>
      <c r="J22" s="8">
        <f t="shared" si="10"/>
        <v>1.0000000000000004</v>
      </c>
      <c r="K22" s="8">
        <f t="shared" ref="K22" si="11">SUM(K13:K21)</f>
        <v>0.64020200000000005</v>
      </c>
      <c r="L22" s="8">
        <f t="shared" ref="L22:M22" si="12">SUM(L13:L21)</f>
        <v>0.64172300000000004</v>
      </c>
      <c r="M22" s="8">
        <f t="shared" si="12"/>
        <v>0.64088645</v>
      </c>
      <c r="N22" s="8">
        <f t="shared" ref="N22" si="13">SUM(N13:N21)</f>
        <v>3.8535226050000003E-2</v>
      </c>
      <c r="O22" s="8">
        <f t="shared" ref="O22:P22" si="14">SUM(O13:O21)</f>
        <v>3.8667618699999989E-2</v>
      </c>
      <c r="P22" s="8">
        <f t="shared" si="14"/>
        <v>3.8594802742499996E-2</v>
      </c>
      <c r="Q22" s="32"/>
      <c r="R22" s="8">
        <f>VLOOKUP(R10,Q12:T21,4)</f>
        <v>-8.6899999999999963E-3</v>
      </c>
      <c r="S22" s="8">
        <f>VLOOKUP(S10,Q12:T21,4)</f>
        <v>0.2075999999999999</v>
      </c>
      <c r="T22" s="8">
        <f>S22-(S10-T10)*(S22-R22)/(S10-R10)</f>
        <v>0.12339170053145951</v>
      </c>
      <c r="U22" s="8">
        <f>VLOOKUP(U10,Q12:W22,7)</f>
        <v>-8.6899999999999963E-3</v>
      </c>
      <c r="V22" s="8">
        <f>VLOOKUP(V10,Q12:W21,7)</f>
        <v>0.2075999999999999</v>
      </c>
      <c r="W22" s="8">
        <f>V22-(V10-W10)*(V22-U22)/(V10-U10)</f>
        <v>0.12351942475112943</v>
      </c>
      <c r="X22" s="8">
        <f>VLOOKUP(X10,Q12:Z21,10)</f>
        <v>-2.1209999999999982E-2</v>
      </c>
      <c r="Y22" s="8">
        <f>VLOOKUP(Y10,Q12:Z21,10)</f>
        <v>0.38209999999999977</v>
      </c>
      <c r="Z22" s="8">
        <f>Y22-(Y10-Z10)*(Y22-X22)/(Y10-X10)</f>
        <v>0.22507910555893906</v>
      </c>
      <c r="AA22" s="8">
        <f>VLOOKUP(AA10,Q12:AC21,13)</f>
        <v>-2.1209999999999982E-2</v>
      </c>
      <c r="AB22" s="8">
        <f>VLOOKUP(AB10,Q12:AC21,13)</f>
        <v>0.38209999999999977</v>
      </c>
      <c r="AC22" s="8">
        <f>AB22-(AB10-AC10)*(AB22-AA22)/(AB10-AA10)</f>
        <v>0.22531726939006891</v>
      </c>
      <c r="AD22" s="8">
        <f t="shared" ref="AD22:AF22" si="15">SUM(AD13:AD21)</f>
        <v>38.771619800000003</v>
      </c>
      <c r="AE22" s="8">
        <f t="shared" si="15"/>
        <v>55.193294970176112</v>
      </c>
      <c r="AF22" s="8">
        <f t="shared" si="15"/>
        <v>916.79757993058206</v>
      </c>
      <c r="AG22" s="8">
        <f t="shared" ref="AG22" si="16">SUM(AG13:AG21)</f>
        <v>916.83017812355115</v>
      </c>
    </row>
    <row r="23" spans="1:33" ht="20.25" customHeight="1" thickTop="1" x14ac:dyDescent="0.2"/>
    <row r="24" spans="1:33" ht="20.25" customHeight="1" thickBot="1" x14ac:dyDescent="0.35">
      <c r="A24" s="10" t="s">
        <v>132</v>
      </c>
      <c r="B24" s="16"/>
      <c r="K24" s="76">
        <f>IF((L9-K9)=0,L22,L22-(L9-$D$9)*(L22-K22)/(L9-K9))</f>
        <v>0.64088645</v>
      </c>
      <c r="L24" s="76"/>
      <c r="M24" s="8"/>
      <c r="N24" s="76">
        <f>IF((O8-N8)=0,O22,O22-(O8-$D$9)*(O22-N22)/(O8-N8))</f>
        <v>3.8667618699999989E-2</v>
      </c>
      <c r="O24" s="76"/>
    </row>
    <row r="25" spans="1:33" ht="20.25" customHeight="1" thickTop="1" thickBot="1" x14ac:dyDescent="0.25">
      <c r="A25" s="4" t="s">
        <v>4</v>
      </c>
      <c r="B25" s="64" t="s">
        <v>145</v>
      </c>
      <c r="C25" s="14" t="s">
        <v>144</v>
      </c>
    </row>
    <row r="26" spans="1:33" ht="20.25" customHeight="1" thickTop="1" x14ac:dyDescent="0.2">
      <c r="A26" s="15" t="s">
        <v>6</v>
      </c>
      <c r="B26" s="65">
        <f>F22</f>
        <v>16.610669473999998</v>
      </c>
      <c r="C26" s="62">
        <f>I22</f>
        <v>16.611259996999998</v>
      </c>
    </row>
    <row r="27" spans="1:33" ht="20.25" customHeight="1" x14ac:dyDescent="0.2">
      <c r="A27" s="15" t="s">
        <v>92</v>
      </c>
      <c r="B27" s="66">
        <f>H22</f>
        <v>4.6341963999999999E-2</v>
      </c>
      <c r="C27" s="34">
        <f>H22</f>
        <v>4.6341963999999999E-2</v>
      </c>
    </row>
    <row r="28" spans="1:33" ht="20.25" customHeight="1" x14ac:dyDescent="0.2">
      <c r="A28" s="15" t="s">
        <v>39</v>
      </c>
      <c r="B28" s="66">
        <f>1-(B27)^2</f>
        <v>0.99785242237262273</v>
      </c>
      <c r="C28" s="34">
        <f>1-(C27)^2</f>
        <v>0.99785242237262273</v>
      </c>
    </row>
    <row r="29" spans="1:33" ht="20.25" customHeight="1" x14ac:dyDescent="0.2">
      <c r="A29" s="15" t="s">
        <v>86</v>
      </c>
      <c r="B29" s="66">
        <f>B39*23.6448*(B28/B26)</f>
        <v>104837.9294483617</v>
      </c>
      <c r="C29" s="34">
        <f>C39*23.6448*(C28/C26)</f>
        <v>104838.27283687236</v>
      </c>
    </row>
    <row r="30" spans="1:33" ht="20.25" customHeight="1" x14ac:dyDescent="0.2">
      <c r="A30" s="15" t="s">
        <v>91</v>
      </c>
      <c r="B30" s="66">
        <f>P22</f>
        <v>3.8594802742499996E-2</v>
      </c>
      <c r="C30" s="34">
        <f>P22</f>
        <v>3.8594802742499996E-2</v>
      </c>
    </row>
    <row r="31" spans="1:33" ht="20.25" customHeight="1" x14ac:dyDescent="0.2">
      <c r="A31" s="15" t="s">
        <v>93</v>
      </c>
      <c r="B31" s="66">
        <f>T22/1000</f>
        <v>1.2339170053145951E-4</v>
      </c>
      <c r="C31" s="34">
        <f>W22/1000</f>
        <v>1.2351942475112942E-4</v>
      </c>
    </row>
    <row r="32" spans="1:33" ht="20.25" customHeight="1" x14ac:dyDescent="0.2">
      <c r="A32" s="15" t="s">
        <v>94</v>
      </c>
      <c r="B32" s="66">
        <f>Z22/1000</f>
        <v>2.2507910555893908E-4</v>
      </c>
      <c r="C32" s="34">
        <f>AC22/1000</f>
        <v>2.253172693900689E-4</v>
      </c>
    </row>
    <row r="33" spans="1:3" ht="20.25" customHeight="1" x14ac:dyDescent="0.2">
      <c r="A33" s="15" t="s">
        <v>95</v>
      </c>
      <c r="B33" s="66">
        <f>(B31+(B32-B31)*(E21/0.0425))*E13</f>
        <v>1.2159385581733624E-4</v>
      </c>
      <c r="C33" s="34">
        <f>(C31+(C32-C31)*(E21/0.0425))*E13</f>
        <v>1.2171987141777461E-4</v>
      </c>
    </row>
    <row r="34" spans="1:3" ht="20.25" customHeight="1" x14ac:dyDescent="0.2">
      <c r="A34" s="15"/>
      <c r="B34" s="66"/>
      <c r="C34" s="34"/>
    </row>
    <row r="35" spans="1:3" ht="20.25" customHeight="1" x14ac:dyDescent="0.2">
      <c r="A35" s="15" t="s">
        <v>102</v>
      </c>
      <c r="B35" s="67">
        <f>B26/(B30-B33)</f>
        <v>431.74640105857435</v>
      </c>
      <c r="C35" s="35">
        <f>C26/(C30-C33)</f>
        <v>431.76316420137027</v>
      </c>
    </row>
    <row r="36" spans="1:3" ht="20.25" customHeight="1" x14ac:dyDescent="0.2">
      <c r="A36" s="15" t="s">
        <v>103</v>
      </c>
      <c r="B36" s="68">
        <f>B35/1000</f>
        <v>0.43174640105857437</v>
      </c>
      <c r="C36" s="36">
        <f>C35/1000</f>
        <v>0.43176316420137029</v>
      </c>
    </row>
    <row r="37" spans="1:3" ht="20.25" customHeight="1" x14ac:dyDescent="0.2">
      <c r="A37" s="15" t="s">
        <v>8</v>
      </c>
      <c r="B37" s="68">
        <f>(B26/23.6448)*(288.15/(273.15+B10))*B11/101325</f>
        <v>1.6499868595287418E-3</v>
      </c>
      <c r="C37" s="36">
        <f>(C26/23.6448)*(288.15/(273.15+B10))*B11/101325</f>
        <v>1.6500455179224796E-3</v>
      </c>
    </row>
    <row r="38" spans="1:3" ht="20.25" customHeight="1" x14ac:dyDescent="0.2">
      <c r="B38" s="69"/>
      <c r="C38" s="37"/>
    </row>
    <row r="39" spans="1:3" ht="20.25" customHeight="1" x14ac:dyDescent="0.2">
      <c r="A39" s="15" t="s">
        <v>101</v>
      </c>
      <c r="B39" s="69">
        <f>B6*B36</f>
        <v>73808.029484025697</v>
      </c>
      <c r="C39" s="37">
        <f>B6*C36</f>
        <v>73810.895181422806</v>
      </c>
    </row>
    <row r="40" spans="1:3" ht="20.25" customHeight="1" x14ac:dyDescent="0.2">
      <c r="A40" s="15" t="s">
        <v>109</v>
      </c>
      <c r="B40" s="69">
        <f>B7*B36</f>
        <v>72784.240036855525</v>
      </c>
      <c r="C40" s="37">
        <f>B7*C36</f>
        <v>72787.065984231202</v>
      </c>
    </row>
    <row r="41" spans="1:3" ht="20.25" customHeight="1" x14ac:dyDescent="0.2">
      <c r="A41" s="15" t="s">
        <v>5</v>
      </c>
      <c r="B41" s="69">
        <f>(B5-B6)*B37</f>
        <v>5.5412564695143853</v>
      </c>
      <c r="C41" s="37">
        <f>(B5-B6)*C37</f>
        <v>5.5414534657522125</v>
      </c>
    </row>
    <row r="42" spans="1:3" ht="20.25" customHeight="1" x14ac:dyDescent="0.2">
      <c r="A42" s="15" t="s">
        <v>110</v>
      </c>
      <c r="B42" s="69">
        <f>B39+B41</f>
        <v>73813.570740495212</v>
      </c>
      <c r="C42" s="37">
        <f>C39+C41</f>
        <v>73816.436634888552</v>
      </c>
    </row>
    <row r="43" spans="1:3" ht="20.25" customHeight="1" x14ac:dyDescent="0.2">
      <c r="A43" s="15"/>
      <c r="B43" s="69"/>
      <c r="C43" s="37"/>
    </row>
    <row r="44" spans="1:3" ht="20.25" customHeight="1" x14ac:dyDescent="0.2">
      <c r="A44" s="15" t="s">
        <v>105</v>
      </c>
      <c r="B44" s="69">
        <f>B5-B6</f>
        <v>3358.3640000000014</v>
      </c>
      <c r="C44" s="37">
        <f>B5-B6</f>
        <v>3358.3640000000014</v>
      </c>
    </row>
    <row r="45" spans="1:3" ht="20.25" customHeight="1" x14ac:dyDescent="0.2">
      <c r="A45" s="15" t="s">
        <v>7</v>
      </c>
      <c r="B45" s="69">
        <f>B41/B36</f>
        <v>12.834516873627885</v>
      </c>
      <c r="C45" s="37">
        <f>C41/C36</f>
        <v>12.834474835300519</v>
      </c>
    </row>
    <row r="46" spans="1:3" ht="20.25" customHeight="1" x14ac:dyDescent="0.2">
      <c r="A46" s="15" t="s">
        <v>149</v>
      </c>
      <c r="B46" s="69">
        <f>B6+B45</f>
        <v>170965.10951687364</v>
      </c>
      <c r="C46" s="37">
        <f>B6+C45</f>
        <v>170965.10947483531</v>
      </c>
    </row>
    <row r="47" spans="1:3" ht="20.25" customHeight="1" x14ac:dyDescent="0.2">
      <c r="A47" s="33"/>
      <c r="B47" s="70"/>
      <c r="C47" s="38"/>
    </row>
    <row r="48" spans="1:3" ht="20.25" customHeight="1" x14ac:dyDescent="0.2">
      <c r="A48" s="33" t="s">
        <v>147</v>
      </c>
      <c r="B48" s="70">
        <f>AD22/B28</f>
        <v>38.8550640662991</v>
      </c>
      <c r="C48" s="38">
        <f>AD22/C28</f>
        <v>38.8550640662991</v>
      </c>
    </row>
    <row r="49" spans="1:3" ht="20.25" customHeight="1" x14ac:dyDescent="0.2">
      <c r="A49" s="33" t="s">
        <v>148</v>
      </c>
      <c r="B49" s="70">
        <f>AE22</f>
        <v>55.193294970176112</v>
      </c>
      <c r="C49" s="38">
        <f>AE22</f>
        <v>55.193294970176112</v>
      </c>
    </row>
    <row r="50" spans="1:3" ht="20.25" customHeight="1" x14ac:dyDescent="0.2">
      <c r="A50" s="33" t="s">
        <v>113</v>
      </c>
      <c r="B50" s="70">
        <f>B6*B35*B49/1055.12</f>
        <v>3860895.7677603359</v>
      </c>
      <c r="C50" s="38">
        <f>B6*C35*C49/1055.12</f>
        <v>3861045.6723036431</v>
      </c>
    </row>
    <row r="51" spans="1:3" ht="20.25" customHeight="1" x14ac:dyDescent="0.2">
      <c r="A51" s="33" t="s">
        <v>111</v>
      </c>
      <c r="B51" s="70">
        <f>B7*B35*B49/1055.12</f>
        <v>3807341.3730516611</v>
      </c>
      <c r="C51" s="38">
        <f>B7*C35*C49/1055.12</f>
        <v>3807489.1982725617</v>
      </c>
    </row>
    <row r="52" spans="1:3" ht="20.25" customHeight="1" x14ac:dyDescent="0.2">
      <c r="A52" s="33" t="s">
        <v>106</v>
      </c>
      <c r="B52" s="70">
        <f>B7*(288.15/(273.15+B10))*(B11*10/1013.25)*(37.7/1055.12)</f>
        <v>14147.415690130794</v>
      </c>
      <c r="C52" s="38">
        <f>B7*(288.15/(273.15+B10))*(B11*10/1013.25)*(37.7/1055.12)</f>
        <v>14147.415690130794</v>
      </c>
    </row>
    <row r="53" spans="1:3" ht="20.25" customHeight="1" x14ac:dyDescent="0.2">
      <c r="A53" s="33" t="s">
        <v>112</v>
      </c>
      <c r="B53" s="70">
        <f>B51-B52</f>
        <v>3793193.95736153</v>
      </c>
      <c r="C53" s="38">
        <f>C51-C52</f>
        <v>3793341.7825824306</v>
      </c>
    </row>
    <row r="54" spans="1:3" ht="20.25" customHeight="1" x14ac:dyDescent="0.2">
      <c r="A54" s="33" t="s">
        <v>100</v>
      </c>
      <c r="B54" s="70">
        <f>1.13285*AF22</f>
        <v>1038.5941384243597</v>
      </c>
      <c r="C54" s="38">
        <f>1.13285*AG22</f>
        <v>1038.6310672872648</v>
      </c>
    </row>
    <row r="55" spans="1:3" ht="20.25" customHeight="1" x14ac:dyDescent="0.2">
      <c r="A55" s="33" t="s">
        <v>107</v>
      </c>
      <c r="B55" s="70">
        <f>B53/B7</f>
        <v>22.500720468863811</v>
      </c>
      <c r="C55" s="38">
        <f>C53/B7</f>
        <v>22.501597348351421</v>
      </c>
    </row>
    <row r="56" spans="1:3" ht="20.25" customHeight="1" thickBot="1" x14ac:dyDescent="0.25">
      <c r="A56" s="17"/>
      <c r="B56" s="49"/>
      <c r="C56" s="21"/>
    </row>
    <row r="57" spans="1:3" ht="20.25" customHeight="1" thickTop="1" x14ac:dyDescent="0.2">
      <c r="A57" s="12"/>
    </row>
    <row r="58" spans="1:3" ht="20.25" customHeight="1" x14ac:dyDescent="0.2">
      <c r="A58" s="3"/>
    </row>
    <row r="59" spans="1:3" ht="20.25" customHeight="1" x14ac:dyDescent="0.2">
      <c r="A59" s="13"/>
    </row>
    <row r="60" spans="1:3" ht="20.25" customHeight="1" x14ac:dyDescent="0.2">
      <c r="A60" s="3"/>
    </row>
  </sheetData>
  <sheetProtection sheet="1" objects="1" scenarios="1"/>
  <mergeCells count="21">
    <mergeCell ref="K24:L24"/>
    <mergeCell ref="N24:O24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honeticPr fontId="8" type="noConversion"/>
  <conditionalFormatting sqref="B22">
    <cfRule type="cellIs" dxfId="0" priority="1" operator="notEqual">
      <formula>100</formula>
    </cfRule>
  </conditionalFormatting>
  <pageMargins left="1.5748031496062993" right="0.78740157480314965" top="0.19685039370078741" bottom="0.19685039370078741" header="0.51181102362204722" footer="0.51181102362204722"/>
  <pageSetup scale="71" orientation="portrait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1AD3B-C9F5-40E6-9CEF-499D2064B967}">
  <sheetPr>
    <tabColor rgb="FF006C69"/>
  </sheetPr>
  <dimension ref="A1:U30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20.25" customHeight="1" x14ac:dyDescent="0.2"/>
  <cols>
    <col min="1" max="1" width="35.5703125" style="1" customWidth="1"/>
    <col min="2" max="20" width="20.5703125" style="1" customWidth="1"/>
    <col min="21" max="21" width="14.140625" style="9" customWidth="1"/>
    <col min="22" max="268" width="8.7109375" style="1"/>
    <col min="269" max="269" width="11.85546875" style="1" customWidth="1"/>
    <col min="270" max="270" width="15" style="1" customWidth="1"/>
    <col min="271" max="271" width="12.85546875" style="1" customWidth="1"/>
    <col min="272" max="272" width="13.5703125" style="1" customWidth="1"/>
    <col min="273" max="273" width="14.140625" style="1" customWidth="1"/>
    <col min="274" max="274" width="12.5703125" style="1" customWidth="1"/>
    <col min="275" max="275" width="13.28515625" style="1" customWidth="1"/>
    <col min="276" max="524" width="8.7109375" style="1"/>
    <col min="525" max="525" width="11.85546875" style="1" customWidth="1"/>
    <col min="526" max="526" width="15" style="1" customWidth="1"/>
    <col min="527" max="527" width="12.85546875" style="1" customWidth="1"/>
    <col min="528" max="528" width="13.5703125" style="1" customWidth="1"/>
    <col min="529" max="529" width="14.140625" style="1" customWidth="1"/>
    <col min="530" max="530" width="12.5703125" style="1" customWidth="1"/>
    <col min="531" max="531" width="13.28515625" style="1" customWidth="1"/>
    <col min="532" max="780" width="8.7109375" style="1"/>
    <col min="781" max="781" width="11.85546875" style="1" customWidth="1"/>
    <col min="782" max="782" width="15" style="1" customWidth="1"/>
    <col min="783" max="783" width="12.85546875" style="1" customWidth="1"/>
    <col min="784" max="784" width="13.5703125" style="1" customWidth="1"/>
    <col min="785" max="785" width="14.140625" style="1" customWidth="1"/>
    <col min="786" max="786" width="12.5703125" style="1" customWidth="1"/>
    <col min="787" max="787" width="13.28515625" style="1" customWidth="1"/>
    <col min="788" max="1036" width="8.7109375" style="1"/>
    <col min="1037" max="1037" width="11.85546875" style="1" customWidth="1"/>
    <col min="1038" max="1038" width="15" style="1" customWidth="1"/>
    <col min="1039" max="1039" width="12.85546875" style="1" customWidth="1"/>
    <col min="1040" max="1040" width="13.5703125" style="1" customWidth="1"/>
    <col min="1041" max="1041" width="14.140625" style="1" customWidth="1"/>
    <col min="1042" max="1042" width="12.5703125" style="1" customWidth="1"/>
    <col min="1043" max="1043" width="13.28515625" style="1" customWidth="1"/>
    <col min="1044" max="1292" width="8.7109375" style="1"/>
    <col min="1293" max="1293" width="11.85546875" style="1" customWidth="1"/>
    <col min="1294" max="1294" width="15" style="1" customWidth="1"/>
    <col min="1295" max="1295" width="12.85546875" style="1" customWidth="1"/>
    <col min="1296" max="1296" width="13.5703125" style="1" customWidth="1"/>
    <col min="1297" max="1297" width="14.140625" style="1" customWidth="1"/>
    <col min="1298" max="1298" width="12.5703125" style="1" customWidth="1"/>
    <col min="1299" max="1299" width="13.28515625" style="1" customWidth="1"/>
    <col min="1300" max="1548" width="8.7109375" style="1"/>
    <col min="1549" max="1549" width="11.85546875" style="1" customWidth="1"/>
    <col min="1550" max="1550" width="15" style="1" customWidth="1"/>
    <col min="1551" max="1551" width="12.85546875" style="1" customWidth="1"/>
    <col min="1552" max="1552" width="13.5703125" style="1" customWidth="1"/>
    <col min="1553" max="1553" width="14.140625" style="1" customWidth="1"/>
    <col min="1554" max="1554" width="12.5703125" style="1" customWidth="1"/>
    <col min="1555" max="1555" width="13.28515625" style="1" customWidth="1"/>
    <col min="1556" max="1804" width="8.7109375" style="1"/>
    <col min="1805" max="1805" width="11.85546875" style="1" customWidth="1"/>
    <col min="1806" max="1806" width="15" style="1" customWidth="1"/>
    <col min="1807" max="1807" width="12.85546875" style="1" customWidth="1"/>
    <col min="1808" max="1808" width="13.5703125" style="1" customWidth="1"/>
    <col min="1809" max="1809" width="14.140625" style="1" customWidth="1"/>
    <col min="1810" max="1810" width="12.5703125" style="1" customWidth="1"/>
    <col min="1811" max="1811" width="13.28515625" style="1" customWidth="1"/>
    <col min="1812" max="2060" width="8.7109375" style="1"/>
    <col min="2061" max="2061" width="11.85546875" style="1" customWidth="1"/>
    <col min="2062" max="2062" width="15" style="1" customWidth="1"/>
    <col min="2063" max="2063" width="12.85546875" style="1" customWidth="1"/>
    <col min="2064" max="2064" width="13.5703125" style="1" customWidth="1"/>
    <col min="2065" max="2065" width="14.140625" style="1" customWidth="1"/>
    <col min="2066" max="2066" width="12.5703125" style="1" customWidth="1"/>
    <col min="2067" max="2067" width="13.28515625" style="1" customWidth="1"/>
    <col min="2068" max="2316" width="8.7109375" style="1"/>
    <col min="2317" max="2317" width="11.85546875" style="1" customWidth="1"/>
    <col min="2318" max="2318" width="15" style="1" customWidth="1"/>
    <col min="2319" max="2319" width="12.85546875" style="1" customWidth="1"/>
    <col min="2320" max="2320" width="13.5703125" style="1" customWidth="1"/>
    <col min="2321" max="2321" width="14.140625" style="1" customWidth="1"/>
    <col min="2322" max="2322" width="12.5703125" style="1" customWidth="1"/>
    <col min="2323" max="2323" width="13.28515625" style="1" customWidth="1"/>
    <col min="2324" max="2572" width="8.7109375" style="1"/>
    <col min="2573" max="2573" width="11.85546875" style="1" customWidth="1"/>
    <col min="2574" max="2574" width="15" style="1" customWidth="1"/>
    <col min="2575" max="2575" width="12.85546875" style="1" customWidth="1"/>
    <col min="2576" max="2576" width="13.5703125" style="1" customWidth="1"/>
    <col min="2577" max="2577" width="14.140625" style="1" customWidth="1"/>
    <col min="2578" max="2578" width="12.5703125" style="1" customWidth="1"/>
    <col min="2579" max="2579" width="13.28515625" style="1" customWidth="1"/>
    <col min="2580" max="2828" width="8.7109375" style="1"/>
    <col min="2829" max="2829" width="11.85546875" style="1" customWidth="1"/>
    <col min="2830" max="2830" width="15" style="1" customWidth="1"/>
    <col min="2831" max="2831" width="12.85546875" style="1" customWidth="1"/>
    <col min="2832" max="2832" width="13.5703125" style="1" customWidth="1"/>
    <col min="2833" max="2833" width="14.140625" style="1" customWidth="1"/>
    <col min="2834" max="2834" width="12.5703125" style="1" customWidth="1"/>
    <col min="2835" max="2835" width="13.28515625" style="1" customWidth="1"/>
    <col min="2836" max="3084" width="8.7109375" style="1"/>
    <col min="3085" max="3085" width="11.85546875" style="1" customWidth="1"/>
    <col min="3086" max="3086" width="15" style="1" customWidth="1"/>
    <col min="3087" max="3087" width="12.85546875" style="1" customWidth="1"/>
    <col min="3088" max="3088" width="13.5703125" style="1" customWidth="1"/>
    <col min="3089" max="3089" width="14.140625" style="1" customWidth="1"/>
    <col min="3090" max="3090" width="12.5703125" style="1" customWidth="1"/>
    <col min="3091" max="3091" width="13.28515625" style="1" customWidth="1"/>
    <col min="3092" max="3340" width="8.7109375" style="1"/>
    <col min="3341" max="3341" width="11.85546875" style="1" customWidth="1"/>
    <col min="3342" max="3342" width="15" style="1" customWidth="1"/>
    <col min="3343" max="3343" width="12.85546875" style="1" customWidth="1"/>
    <col min="3344" max="3344" width="13.5703125" style="1" customWidth="1"/>
    <col min="3345" max="3345" width="14.140625" style="1" customWidth="1"/>
    <col min="3346" max="3346" width="12.5703125" style="1" customWidth="1"/>
    <col min="3347" max="3347" width="13.28515625" style="1" customWidth="1"/>
    <col min="3348" max="3596" width="8.7109375" style="1"/>
    <col min="3597" max="3597" width="11.85546875" style="1" customWidth="1"/>
    <col min="3598" max="3598" width="15" style="1" customWidth="1"/>
    <col min="3599" max="3599" width="12.85546875" style="1" customWidth="1"/>
    <col min="3600" max="3600" width="13.5703125" style="1" customWidth="1"/>
    <col min="3601" max="3601" width="14.140625" style="1" customWidth="1"/>
    <col min="3602" max="3602" width="12.5703125" style="1" customWidth="1"/>
    <col min="3603" max="3603" width="13.28515625" style="1" customWidth="1"/>
    <col min="3604" max="3852" width="8.7109375" style="1"/>
    <col min="3853" max="3853" width="11.85546875" style="1" customWidth="1"/>
    <col min="3854" max="3854" width="15" style="1" customWidth="1"/>
    <col min="3855" max="3855" width="12.85546875" style="1" customWidth="1"/>
    <col min="3856" max="3856" width="13.5703125" style="1" customWidth="1"/>
    <col min="3857" max="3857" width="14.140625" style="1" customWidth="1"/>
    <col min="3858" max="3858" width="12.5703125" style="1" customWidth="1"/>
    <col min="3859" max="3859" width="13.28515625" style="1" customWidth="1"/>
    <col min="3860" max="4108" width="8.7109375" style="1"/>
    <col min="4109" max="4109" width="11.85546875" style="1" customWidth="1"/>
    <col min="4110" max="4110" width="15" style="1" customWidth="1"/>
    <col min="4111" max="4111" width="12.85546875" style="1" customWidth="1"/>
    <col min="4112" max="4112" width="13.5703125" style="1" customWidth="1"/>
    <col min="4113" max="4113" width="14.140625" style="1" customWidth="1"/>
    <col min="4114" max="4114" width="12.5703125" style="1" customWidth="1"/>
    <col min="4115" max="4115" width="13.28515625" style="1" customWidth="1"/>
    <col min="4116" max="4364" width="8.7109375" style="1"/>
    <col min="4365" max="4365" width="11.85546875" style="1" customWidth="1"/>
    <col min="4366" max="4366" width="15" style="1" customWidth="1"/>
    <col min="4367" max="4367" width="12.85546875" style="1" customWidth="1"/>
    <col min="4368" max="4368" width="13.5703125" style="1" customWidth="1"/>
    <col min="4369" max="4369" width="14.140625" style="1" customWidth="1"/>
    <col min="4370" max="4370" width="12.5703125" style="1" customWidth="1"/>
    <col min="4371" max="4371" width="13.28515625" style="1" customWidth="1"/>
    <col min="4372" max="4620" width="8.7109375" style="1"/>
    <col min="4621" max="4621" width="11.85546875" style="1" customWidth="1"/>
    <col min="4622" max="4622" width="15" style="1" customWidth="1"/>
    <col min="4623" max="4623" width="12.85546875" style="1" customWidth="1"/>
    <col min="4624" max="4624" width="13.5703125" style="1" customWidth="1"/>
    <col min="4625" max="4625" width="14.140625" style="1" customWidth="1"/>
    <col min="4626" max="4626" width="12.5703125" style="1" customWidth="1"/>
    <col min="4627" max="4627" width="13.28515625" style="1" customWidth="1"/>
    <col min="4628" max="4876" width="8.7109375" style="1"/>
    <col min="4877" max="4877" width="11.85546875" style="1" customWidth="1"/>
    <col min="4878" max="4878" width="15" style="1" customWidth="1"/>
    <col min="4879" max="4879" width="12.85546875" style="1" customWidth="1"/>
    <col min="4880" max="4880" width="13.5703125" style="1" customWidth="1"/>
    <col min="4881" max="4881" width="14.140625" style="1" customWidth="1"/>
    <col min="4882" max="4882" width="12.5703125" style="1" customWidth="1"/>
    <col min="4883" max="4883" width="13.28515625" style="1" customWidth="1"/>
    <col min="4884" max="5132" width="8.7109375" style="1"/>
    <col min="5133" max="5133" width="11.85546875" style="1" customWidth="1"/>
    <col min="5134" max="5134" width="15" style="1" customWidth="1"/>
    <col min="5135" max="5135" width="12.85546875" style="1" customWidth="1"/>
    <col min="5136" max="5136" width="13.5703125" style="1" customWidth="1"/>
    <col min="5137" max="5137" width="14.140625" style="1" customWidth="1"/>
    <col min="5138" max="5138" width="12.5703125" style="1" customWidth="1"/>
    <col min="5139" max="5139" width="13.28515625" style="1" customWidth="1"/>
    <col min="5140" max="5388" width="8.7109375" style="1"/>
    <col min="5389" max="5389" width="11.85546875" style="1" customWidth="1"/>
    <col min="5390" max="5390" width="15" style="1" customWidth="1"/>
    <col min="5391" max="5391" width="12.85546875" style="1" customWidth="1"/>
    <col min="5392" max="5392" width="13.5703125" style="1" customWidth="1"/>
    <col min="5393" max="5393" width="14.140625" style="1" customWidth="1"/>
    <col min="5394" max="5394" width="12.5703125" style="1" customWidth="1"/>
    <col min="5395" max="5395" width="13.28515625" style="1" customWidth="1"/>
    <col min="5396" max="5644" width="8.7109375" style="1"/>
    <col min="5645" max="5645" width="11.85546875" style="1" customWidth="1"/>
    <col min="5646" max="5646" width="15" style="1" customWidth="1"/>
    <col min="5647" max="5647" width="12.85546875" style="1" customWidth="1"/>
    <col min="5648" max="5648" width="13.5703125" style="1" customWidth="1"/>
    <col min="5649" max="5649" width="14.140625" style="1" customWidth="1"/>
    <col min="5650" max="5650" width="12.5703125" style="1" customWidth="1"/>
    <col min="5651" max="5651" width="13.28515625" style="1" customWidth="1"/>
    <col min="5652" max="5900" width="8.7109375" style="1"/>
    <col min="5901" max="5901" width="11.85546875" style="1" customWidth="1"/>
    <col min="5902" max="5902" width="15" style="1" customWidth="1"/>
    <col min="5903" max="5903" width="12.85546875" style="1" customWidth="1"/>
    <col min="5904" max="5904" width="13.5703125" style="1" customWidth="1"/>
    <col min="5905" max="5905" width="14.140625" style="1" customWidth="1"/>
    <col min="5906" max="5906" width="12.5703125" style="1" customWidth="1"/>
    <col min="5907" max="5907" width="13.28515625" style="1" customWidth="1"/>
    <col min="5908" max="6156" width="8.7109375" style="1"/>
    <col min="6157" max="6157" width="11.85546875" style="1" customWidth="1"/>
    <col min="6158" max="6158" width="15" style="1" customWidth="1"/>
    <col min="6159" max="6159" width="12.85546875" style="1" customWidth="1"/>
    <col min="6160" max="6160" width="13.5703125" style="1" customWidth="1"/>
    <col min="6161" max="6161" width="14.140625" style="1" customWidth="1"/>
    <col min="6162" max="6162" width="12.5703125" style="1" customWidth="1"/>
    <col min="6163" max="6163" width="13.28515625" style="1" customWidth="1"/>
    <col min="6164" max="6412" width="8.7109375" style="1"/>
    <col min="6413" max="6413" width="11.85546875" style="1" customWidth="1"/>
    <col min="6414" max="6414" width="15" style="1" customWidth="1"/>
    <col min="6415" max="6415" width="12.85546875" style="1" customWidth="1"/>
    <col min="6416" max="6416" width="13.5703125" style="1" customWidth="1"/>
    <col min="6417" max="6417" width="14.140625" style="1" customWidth="1"/>
    <col min="6418" max="6418" width="12.5703125" style="1" customWidth="1"/>
    <col min="6419" max="6419" width="13.28515625" style="1" customWidth="1"/>
    <col min="6420" max="6668" width="8.7109375" style="1"/>
    <col min="6669" max="6669" width="11.85546875" style="1" customWidth="1"/>
    <col min="6670" max="6670" width="15" style="1" customWidth="1"/>
    <col min="6671" max="6671" width="12.85546875" style="1" customWidth="1"/>
    <col min="6672" max="6672" width="13.5703125" style="1" customWidth="1"/>
    <col min="6673" max="6673" width="14.140625" style="1" customWidth="1"/>
    <col min="6674" max="6674" width="12.5703125" style="1" customWidth="1"/>
    <col min="6675" max="6675" width="13.28515625" style="1" customWidth="1"/>
    <col min="6676" max="6924" width="8.7109375" style="1"/>
    <col min="6925" max="6925" width="11.85546875" style="1" customWidth="1"/>
    <col min="6926" max="6926" width="15" style="1" customWidth="1"/>
    <col min="6927" max="6927" width="12.85546875" style="1" customWidth="1"/>
    <col min="6928" max="6928" width="13.5703125" style="1" customWidth="1"/>
    <col min="6929" max="6929" width="14.140625" style="1" customWidth="1"/>
    <col min="6930" max="6930" width="12.5703125" style="1" customWidth="1"/>
    <col min="6931" max="6931" width="13.28515625" style="1" customWidth="1"/>
    <col min="6932" max="7180" width="8.7109375" style="1"/>
    <col min="7181" max="7181" width="11.85546875" style="1" customWidth="1"/>
    <col min="7182" max="7182" width="15" style="1" customWidth="1"/>
    <col min="7183" max="7183" width="12.85546875" style="1" customWidth="1"/>
    <col min="7184" max="7184" width="13.5703125" style="1" customWidth="1"/>
    <col min="7185" max="7185" width="14.140625" style="1" customWidth="1"/>
    <col min="7186" max="7186" width="12.5703125" style="1" customWidth="1"/>
    <col min="7187" max="7187" width="13.28515625" style="1" customWidth="1"/>
    <col min="7188" max="7436" width="8.7109375" style="1"/>
    <col min="7437" max="7437" width="11.85546875" style="1" customWidth="1"/>
    <col min="7438" max="7438" width="15" style="1" customWidth="1"/>
    <col min="7439" max="7439" width="12.85546875" style="1" customWidth="1"/>
    <col min="7440" max="7440" width="13.5703125" style="1" customWidth="1"/>
    <col min="7441" max="7441" width="14.140625" style="1" customWidth="1"/>
    <col min="7442" max="7442" width="12.5703125" style="1" customWidth="1"/>
    <col min="7443" max="7443" width="13.28515625" style="1" customWidth="1"/>
    <col min="7444" max="7692" width="8.7109375" style="1"/>
    <col min="7693" max="7693" width="11.85546875" style="1" customWidth="1"/>
    <col min="7694" max="7694" width="15" style="1" customWidth="1"/>
    <col min="7695" max="7695" width="12.85546875" style="1" customWidth="1"/>
    <col min="7696" max="7696" width="13.5703125" style="1" customWidth="1"/>
    <col min="7697" max="7697" width="14.140625" style="1" customWidth="1"/>
    <col min="7698" max="7698" width="12.5703125" style="1" customWidth="1"/>
    <col min="7699" max="7699" width="13.28515625" style="1" customWidth="1"/>
    <col min="7700" max="7948" width="8.7109375" style="1"/>
    <col min="7949" max="7949" width="11.85546875" style="1" customWidth="1"/>
    <col min="7950" max="7950" width="15" style="1" customWidth="1"/>
    <col min="7951" max="7951" width="12.85546875" style="1" customWidth="1"/>
    <col min="7952" max="7952" width="13.5703125" style="1" customWidth="1"/>
    <col min="7953" max="7953" width="14.140625" style="1" customWidth="1"/>
    <col min="7954" max="7954" width="12.5703125" style="1" customWidth="1"/>
    <col min="7955" max="7955" width="13.28515625" style="1" customWidth="1"/>
    <col min="7956" max="8204" width="8.7109375" style="1"/>
    <col min="8205" max="8205" width="11.85546875" style="1" customWidth="1"/>
    <col min="8206" max="8206" width="15" style="1" customWidth="1"/>
    <col min="8207" max="8207" width="12.85546875" style="1" customWidth="1"/>
    <col min="8208" max="8208" width="13.5703125" style="1" customWidth="1"/>
    <col min="8209" max="8209" width="14.140625" style="1" customWidth="1"/>
    <col min="8210" max="8210" width="12.5703125" style="1" customWidth="1"/>
    <col min="8211" max="8211" width="13.28515625" style="1" customWidth="1"/>
    <col min="8212" max="8460" width="8.7109375" style="1"/>
    <col min="8461" max="8461" width="11.85546875" style="1" customWidth="1"/>
    <col min="8462" max="8462" width="15" style="1" customWidth="1"/>
    <col min="8463" max="8463" width="12.85546875" style="1" customWidth="1"/>
    <col min="8464" max="8464" width="13.5703125" style="1" customWidth="1"/>
    <col min="8465" max="8465" width="14.140625" style="1" customWidth="1"/>
    <col min="8466" max="8466" width="12.5703125" style="1" customWidth="1"/>
    <col min="8467" max="8467" width="13.28515625" style="1" customWidth="1"/>
    <col min="8468" max="8716" width="8.7109375" style="1"/>
    <col min="8717" max="8717" width="11.85546875" style="1" customWidth="1"/>
    <col min="8718" max="8718" width="15" style="1" customWidth="1"/>
    <col min="8719" max="8719" width="12.85546875" style="1" customWidth="1"/>
    <col min="8720" max="8720" width="13.5703125" style="1" customWidth="1"/>
    <col min="8721" max="8721" width="14.140625" style="1" customWidth="1"/>
    <col min="8722" max="8722" width="12.5703125" style="1" customWidth="1"/>
    <col min="8723" max="8723" width="13.28515625" style="1" customWidth="1"/>
    <col min="8724" max="8972" width="8.7109375" style="1"/>
    <col min="8973" max="8973" width="11.85546875" style="1" customWidth="1"/>
    <col min="8974" max="8974" width="15" style="1" customWidth="1"/>
    <col min="8975" max="8975" width="12.85546875" style="1" customWidth="1"/>
    <col min="8976" max="8976" width="13.5703125" style="1" customWidth="1"/>
    <col min="8977" max="8977" width="14.140625" style="1" customWidth="1"/>
    <col min="8978" max="8978" width="12.5703125" style="1" customWidth="1"/>
    <col min="8979" max="8979" width="13.28515625" style="1" customWidth="1"/>
    <col min="8980" max="9228" width="8.7109375" style="1"/>
    <col min="9229" max="9229" width="11.85546875" style="1" customWidth="1"/>
    <col min="9230" max="9230" width="15" style="1" customWidth="1"/>
    <col min="9231" max="9231" width="12.85546875" style="1" customWidth="1"/>
    <col min="9232" max="9232" width="13.5703125" style="1" customWidth="1"/>
    <col min="9233" max="9233" width="14.140625" style="1" customWidth="1"/>
    <col min="9234" max="9234" width="12.5703125" style="1" customWidth="1"/>
    <col min="9235" max="9235" width="13.28515625" style="1" customWidth="1"/>
    <col min="9236" max="9484" width="8.7109375" style="1"/>
    <col min="9485" max="9485" width="11.85546875" style="1" customWidth="1"/>
    <col min="9486" max="9486" width="15" style="1" customWidth="1"/>
    <col min="9487" max="9487" width="12.85546875" style="1" customWidth="1"/>
    <col min="9488" max="9488" width="13.5703125" style="1" customWidth="1"/>
    <col min="9489" max="9489" width="14.140625" style="1" customWidth="1"/>
    <col min="9490" max="9490" width="12.5703125" style="1" customWidth="1"/>
    <col min="9491" max="9491" width="13.28515625" style="1" customWidth="1"/>
    <col min="9492" max="9740" width="8.7109375" style="1"/>
    <col min="9741" max="9741" width="11.85546875" style="1" customWidth="1"/>
    <col min="9742" max="9742" width="15" style="1" customWidth="1"/>
    <col min="9743" max="9743" width="12.85546875" style="1" customWidth="1"/>
    <col min="9744" max="9744" width="13.5703125" style="1" customWidth="1"/>
    <col min="9745" max="9745" width="14.140625" style="1" customWidth="1"/>
    <col min="9746" max="9746" width="12.5703125" style="1" customWidth="1"/>
    <col min="9747" max="9747" width="13.28515625" style="1" customWidth="1"/>
    <col min="9748" max="9996" width="8.7109375" style="1"/>
    <col min="9997" max="9997" width="11.85546875" style="1" customWidth="1"/>
    <col min="9998" max="9998" width="15" style="1" customWidth="1"/>
    <col min="9999" max="9999" width="12.85546875" style="1" customWidth="1"/>
    <col min="10000" max="10000" width="13.5703125" style="1" customWidth="1"/>
    <col min="10001" max="10001" width="14.140625" style="1" customWidth="1"/>
    <col min="10002" max="10002" width="12.5703125" style="1" customWidth="1"/>
    <col min="10003" max="10003" width="13.28515625" style="1" customWidth="1"/>
    <col min="10004" max="10252" width="8.7109375" style="1"/>
    <col min="10253" max="10253" width="11.85546875" style="1" customWidth="1"/>
    <col min="10254" max="10254" width="15" style="1" customWidth="1"/>
    <col min="10255" max="10255" width="12.85546875" style="1" customWidth="1"/>
    <col min="10256" max="10256" width="13.5703125" style="1" customWidth="1"/>
    <col min="10257" max="10257" width="14.140625" style="1" customWidth="1"/>
    <col min="10258" max="10258" width="12.5703125" style="1" customWidth="1"/>
    <col min="10259" max="10259" width="13.28515625" style="1" customWidth="1"/>
    <col min="10260" max="10508" width="8.7109375" style="1"/>
    <col min="10509" max="10509" width="11.85546875" style="1" customWidth="1"/>
    <col min="10510" max="10510" width="15" style="1" customWidth="1"/>
    <col min="10511" max="10511" width="12.85546875" style="1" customWidth="1"/>
    <col min="10512" max="10512" width="13.5703125" style="1" customWidth="1"/>
    <col min="10513" max="10513" width="14.140625" style="1" customWidth="1"/>
    <col min="10514" max="10514" width="12.5703125" style="1" customWidth="1"/>
    <col min="10515" max="10515" width="13.28515625" style="1" customWidth="1"/>
    <col min="10516" max="10764" width="8.7109375" style="1"/>
    <col min="10765" max="10765" width="11.85546875" style="1" customWidth="1"/>
    <col min="10766" max="10766" width="15" style="1" customWidth="1"/>
    <col min="10767" max="10767" width="12.85546875" style="1" customWidth="1"/>
    <col min="10768" max="10768" width="13.5703125" style="1" customWidth="1"/>
    <col min="10769" max="10769" width="14.140625" style="1" customWidth="1"/>
    <col min="10770" max="10770" width="12.5703125" style="1" customWidth="1"/>
    <col min="10771" max="10771" width="13.28515625" style="1" customWidth="1"/>
    <col min="10772" max="11020" width="8.7109375" style="1"/>
    <col min="11021" max="11021" width="11.85546875" style="1" customWidth="1"/>
    <col min="11022" max="11022" width="15" style="1" customWidth="1"/>
    <col min="11023" max="11023" width="12.85546875" style="1" customWidth="1"/>
    <col min="11024" max="11024" width="13.5703125" style="1" customWidth="1"/>
    <col min="11025" max="11025" width="14.140625" style="1" customWidth="1"/>
    <col min="11026" max="11026" width="12.5703125" style="1" customWidth="1"/>
    <col min="11027" max="11027" width="13.28515625" style="1" customWidth="1"/>
    <col min="11028" max="11276" width="8.7109375" style="1"/>
    <col min="11277" max="11277" width="11.85546875" style="1" customWidth="1"/>
    <col min="11278" max="11278" width="15" style="1" customWidth="1"/>
    <col min="11279" max="11279" width="12.85546875" style="1" customWidth="1"/>
    <col min="11280" max="11280" width="13.5703125" style="1" customWidth="1"/>
    <col min="11281" max="11281" width="14.140625" style="1" customWidth="1"/>
    <col min="11282" max="11282" width="12.5703125" style="1" customWidth="1"/>
    <col min="11283" max="11283" width="13.28515625" style="1" customWidth="1"/>
    <col min="11284" max="11532" width="8.7109375" style="1"/>
    <col min="11533" max="11533" width="11.85546875" style="1" customWidth="1"/>
    <col min="11534" max="11534" width="15" style="1" customWidth="1"/>
    <col min="11535" max="11535" width="12.85546875" style="1" customWidth="1"/>
    <col min="11536" max="11536" width="13.5703125" style="1" customWidth="1"/>
    <col min="11537" max="11537" width="14.140625" style="1" customWidth="1"/>
    <col min="11538" max="11538" width="12.5703125" style="1" customWidth="1"/>
    <col min="11539" max="11539" width="13.28515625" style="1" customWidth="1"/>
    <col min="11540" max="11788" width="8.7109375" style="1"/>
    <col min="11789" max="11789" width="11.85546875" style="1" customWidth="1"/>
    <col min="11790" max="11790" width="15" style="1" customWidth="1"/>
    <col min="11791" max="11791" width="12.85546875" style="1" customWidth="1"/>
    <col min="11792" max="11792" width="13.5703125" style="1" customWidth="1"/>
    <col min="11793" max="11793" width="14.140625" style="1" customWidth="1"/>
    <col min="11794" max="11794" width="12.5703125" style="1" customWidth="1"/>
    <col min="11795" max="11795" width="13.28515625" style="1" customWidth="1"/>
    <col min="11796" max="12044" width="8.7109375" style="1"/>
    <col min="12045" max="12045" width="11.85546875" style="1" customWidth="1"/>
    <col min="12046" max="12046" width="15" style="1" customWidth="1"/>
    <col min="12047" max="12047" width="12.85546875" style="1" customWidth="1"/>
    <col min="12048" max="12048" width="13.5703125" style="1" customWidth="1"/>
    <col min="12049" max="12049" width="14.140625" style="1" customWidth="1"/>
    <col min="12050" max="12050" width="12.5703125" style="1" customWidth="1"/>
    <col min="12051" max="12051" width="13.28515625" style="1" customWidth="1"/>
    <col min="12052" max="12300" width="8.7109375" style="1"/>
    <col min="12301" max="12301" width="11.85546875" style="1" customWidth="1"/>
    <col min="12302" max="12302" width="15" style="1" customWidth="1"/>
    <col min="12303" max="12303" width="12.85546875" style="1" customWidth="1"/>
    <col min="12304" max="12304" width="13.5703125" style="1" customWidth="1"/>
    <col min="12305" max="12305" width="14.140625" style="1" customWidth="1"/>
    <col min="12306" max="12306" width="12.5703125" style="1" customWidth="1"/>
    <col min="12307" max="12307" width="13.28515625" style="1" customWidth="1"/>
    <col min="12308" max="12556" width="8.7109375" style="1"/>
    <col min="12557" max="12557" width="11.85546875" style="1" customWidth="1"/>
    <col min="12558" max="12558" width="15" style="1" customWidth="1"/>
    <col min="12559" max="12559" width="12.85546875" style="1" customWidth="1"/>
    <col min="12560" max="12560" width="13.5703125" style="1" customWidth="1"/>
    <col min="12561" max="12561" width="14.140625" style="1" customWidth="1"/>
    <col min="12562" max="12562" width="12.5703125" style="1" customWidth="1"/>
    <col min="12563" max="12563" width="13.28515625" style="1" customWidth="1"/>
    <col min="12564" max="12812" width="8.7109375" style="1"/>
    <col min="12813" max="12813" width="11.85546875" style="1" customWidth="1"/>
    <col min="12814" max="12814" width="15" style="1" customWidth="1"/>
    <col min="12815" max="12815" width="12.85546875" style="1" customWidth="1"/>
    <col min="12816" max="12816" width="13.5703125" style="1" customWidth="1"/>
    <col min="12817" max="12817" width="14.140625" style="1" customWidth="1"/>
    <col min="12818" max="12818" width="12.5703125" style="1" customWidth="1"/>
    <col min="12819" max="12819" width="13.28515625" style="1" customWidth="1"/>
    <col min="12820" max="13068" width="8.7109375" style="1"/>
    <col min="13069" max="13069" width="11.85546875" style="1" customWidth="1"/>
    <col min="13070" max="13070" width="15" style="1" customWidth="1"/>
    <col min="13071" max="13071" width="12.85546875" style="1" customWidth="1"/>
    <col min="13072" max="13072" width="13.5703125" style="1" customWidth="1"/>
    <col min="13073" max="13073" width="14.140625" style="1" customWidth="1"/>
    <col min="13074" max="13074" width="12.5703125" style="1" customWidth="1"/>
    <col min="13075" max="13075" width="13.28515625" style="1" customWidth="1"/>
    <col min="13076" max="13324" width="8.7109375" style="1"/>
    <col min="13325" max="13325" width="11.85546875" style="1" customWidth="1"/>
    <col min="13326" max="13326" width="15" style="1" customWidth="1"/>
    <col min="13327" max="13327" width="12.85546875" style="1" customWidth="1"/>
    <col min="13328" max="13328" width="13.5703125" style="1" customWidth="1"/>
    <col min="13329" max="13329" width="14.140625" style="1" customWidth="1"/>
    <col min="13330" max="13330" width="12.5703125" style="1" customWidth="1"/>
    <col min="13331" max="13331" width="13.28515625" style="1" customWidth="1"/>
    <col min="13332" max="13580" width="8.7109375" style="1"/>
    <col min="13581" max="13581" width="11.85546875" style="1" customWidth="1"/>
    <col min="13582" max="13582" width="15" style="1" customWidth="1"/>
    <col min="13583" max="13583" width="12.85546875" style="1" customWidth="1"/>
    <col min="13584" max="13584" width="13.5703125" style="1" customWidth="1"/>
    <col min="13585" max="13585" width="14.140625" style="1" customWidth="1"/>
    <col min="13586" max="13586" width="12.5703125" style="1" customWidth="1"/>
    <col min="13587" max="13587" width="13.28515625" style="1" customWidth="1"/>
    <col min="13588" max="13836" width="8.7109375" style="1"/>
    <col min="13837" max="13837" width="11.85546875" style="1" customWidth="1"/>
    <col min="13838" max="13838" width="15" style="1" customWidth="1"/>
    <col min="13839" max="13839" width="12.85546875" style="1" customWidth="1"/>
    <col min="13840" max="13840" width="13.5703125" style="1" customWidth="1"/>
    <col min="13841" max="13841" width="14.140625" style="1" customWidth="1"/>
    <col min="13842" max="13842" width="12.5703125" style="1" customWidth="1"/>
    <col min="13843" max="13843" width="13.28515625" style="1" customWidth="1"/>
    <col min="13844" max="14092" width="8.7109375" style="1"/>
    <col min="14093" max="14093" width="11.85546875" style="1" customWidth="1"/>
    <col min="14094" max="14094" width="15" style="1" customWidth="1"/>
    <col min="14095" max="14095" width="12.85546875" style="1" customWidth="1"/>
    <col min="14096" max="14096" width="13.5703125" style="1" customWidth="1"/>
    <col min="14097" max="14097" width="14.140625" style="1" customWidth="1"/>
    <col min="14098" max="14098" width="12.5703125" style="1" customWidth="1"/>
    <col min="14099" max="14099" width="13.28515625" style="1" customWidth="1"/>
    <col min="14100" max="14348" width="8.7109375" style="1"/>
    <col min="14349" max="14349" width="11.85546875" style="1" customWidth="1"/>
    <col min="14350" max="14350" width="15" style="1" customWidth="1"/>
    <col min="14351" max="14351" width="12.85546875" style="1" customWidth="1"/>
    <col min="14352" max="14352" width="13.5703125" style="1" customWidth="1"/>
    <col min="14353" max="14353" width="14.140625" style="1" customWidth="1"/>
    <col min="14354" max="14354" width="12.5703125" style="1" customWidth="1"/>
    <col min="14355" max="14355" width="13.28515625" style="1" customWidth="1"/>
    <col min="14356" max="14604" width="8.7109375" style="1"/>
    <col min="14605" max="14605" width="11.85546875" style="1" customWidth="1"/>
    <col min="14606" max="14606" width="15" style="1" customWidth="1"/>
    <col min="14607" max="14607" width="12.85546875" style="1" customWidth="1"/>
    <col min="14608" max="14608" width="13.5703125" style="1" customWidth="1"/>
    <col min="14609" max="14609" width="14.140625" style="1" customWidth="1"/>
    <col min="14610" max="14610" width="12.5703125" style="1" customWidth="1"/>
    <col min="14611" max="14611" width="13.28515625" style="1" customWidth="1"/>
    <col min="14612" max="14860" width="8.7109375" style="1"/>
    <col min="14861" max="14861" width="11.85546875" style="1" customWidth="1"/>
    <col min="14862" max="14862" width="15" style="1" customWidth="1"/>
    <col min="14863" max="14863" width="12.85546875" style="1" customWidth="1"/>
    <col min="14864" max="14864" width="13.5703125" style="1" customWidth="1"/>
    <col min="14865" max="14865" width="14.140625" style="1" customWidth="1"/>
    <col min="14866" max="14866" width="12.5703125" style="1" customWidth="1"/>
    <col min="14867" max="14867" width="13.28515625" style="1" customWidth="1"/>
    <col min="14868" max="15116" width="8.7109375" style="1"/>
    <col min="15117" max="15117" width="11.85546875" style="1" customWidth="1"/>
    <col min="15118" max="15118" width="15" style="1" customWidth="1"/>
    <col min="15119" max="15119" width="12.85546875" style="1" customWidth="1"/>
    <col min="15120" max="15120" width="13.5703125" style="1" customWidth="1"/>
    <col min="15121" max="15121" width="14.140625" style="1" customWidth="1"/>
    <col min="15122" max="15122" width="12.5703125" style="1" customWidth="1"/>
    <col min="15123" max="15123" width="13.28515625" style="1" customWidth="1"/>
    <col min="15124" max="15372" width="8.7109375" style="1"/>
    <col min="15373" max="15373" width="11.85546875" style="1" customWidth="1"/>
    <col min="15374" max="15374" width="15" style="1" customWidth="1"/>
    <col min="15375" max="15375" width="12.85546875" style="1" customWidth="1"/>
    <col min="15376" max="15376" width="13.5703125" style="1" customWidth="1"/>
    <col min="15377" max="15377" width="14.140625" style="1" customWidth="1"/>
    <col min="15378" max="15378" width="12.5703125" style="1" customWidth="1"/>
    <col min="15379" max="15379" width="13.28515625" style="1" customWidth="1"/>
    <col min="15380" max="15628" width="8.7109375" style="1"/>
    <col min="15629" max="15629" width="11.85546875" style="1" customWidth="1"/>
    <col min="15630" max="15630" width="15" style="1" customWidth="1"/>
    <col min="15631" max="15631" width="12.85546875" style="1" customWidth="1"/>
    <col min="15632" max="15632" width="13.5703125" style="1" customWidth="1"/>
    <col min="15633" max="15633" width="14.140625" style="1" customWidth="1"/>
    <col min="15634" max="15634" width="12.5703125" style="1" customWidth="1"/>
    <col min="15635" max="15635" width="13.28515625" style="1" customWidth="1"/>
    <col min="15636" max="15884" width="8.7109375" style="1"/>
    <col min="15885" max="15885" width="11.85546875" style="1" customWidth="1"/>
    <col min="15886" max="15886" width="15" style="1" customWidth="1"/>
    <col min="15887" max="15887" width="12.85546875" style="1" customWidth="1"/>
    <col min="15888" max="15888" width="13.5703125" style="1" customWidth="1"/>
    <col min="15889" max="15889" width="14.140625" style="1" customWidth="1"/>
    <col min="15890" max="15890" width="12.5703125" style="1" customWidth="1"/>
    <col min="15891" max="15891" width="13.28515625" style="1" customWidth="1"/>
    <col min="15892" max="16140" width="8.7109375" style="1"/>
    <col min="16141" max="16141" width="11.85546875" style="1" customWidth="1"/>
    <col min="16142" max="16142" width="15" style="1" customWidth="1"/>
    <col min="16143" max="16143" width="12.85546875" style="1" customWidth="1"/>
    <col min="16144" max="16144" width="13.5703125" style="1" customWidth="1"/>
    <col min="16145" max="16145" width="14.140625" style="1" customWidth="1"/>
    <col min="16146" max="16146" width="12.5703125" style="1" customWidth="1"/>
    <col min="16147" max="16147" width="13.28515625" style="1" customWidth="1"/>
    <col min="16148" max="16384" width="8.7109375" style="1"/>
  </cols>
  <sheetData>
    <row r="1" spans="1:21" ht="60" customHeight="1" x14ac:dyDescent="0.2">
      <c r="B1" s="11" t="s">
        <v>150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3"/>
      <c r="Q1" s="23"/>
      <c r="R1" s="23"/>
      <c r="S1" s="23"/>
      <c r="T1" s="23"/>
      <c r="U1" s="1"/>
    </row>
    <row r="3" spans="1:21" ht="20.25" customHeight="1" thickBot="1" x14ac:dyDescent="0.35">
      <c r="A3" s="24" t="s">
        <v>41</v>
      </c>
      <c r="B3" s="3" t="s">
        <v>42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U3" s="1"/>
    </row>
    <row r="4" spans="1:21" s="19" customFormat="1" ht="35.1" customHeight="1" thickTop="1" thickBot="1" x14ac:dyDescent="0.25">
      <c r="A4" s="18" t="s">
        <v>43</v>
      </c>
      <c r="B4" s="39" t="s">
        <v>44</v>
      </c>
      <c r="C4" s="39" t="s">
        <v>115</v>
      </c>
      <c r="D4" s="39" t="s">
        <v>116</v>
      </c>
      <c r="E4" s="39" t="s">
        <v>117</v>
      </c>
      <c r="F4" s="39" t="s">
        <v>118</v>
      </c>
      <c r="G4" s="39" t="s">
        <v>119</v>
      </c>
      <c r="H4" s="39" t="s">
        <v>45</v>
      </c>
      <c r="I4" s="39" t="s">
        <v>120</v>
      </c>
      <c r="J4" s="39" t="s">
        <v>121</v>
      </c>
      <c r="K4" s="39" t="s">
        <v>122</v>
      </c>
      <c r="L4" s="39" t="s">
        <v>124</v>
      </c>
      <c r="M4" s="39" t="s">
        <v>123</v>
      </c>
      <c r="N4" s="39" t="s">
        <v>125</v>
      </c>
      <c r="O4" s="39" t="s">
        <v>126</v>
      </c>
      <c r="P4" s="39" t="s">
        <v>127</v>
      </c>
      <c r="Q4" s="50" t="s">
        <v>131</v>
      </c>
      <c r="R4" s="50" t="s">
        <v>128</v>
      </c>
      <c r="S4" s="50" t="s">
        <v>129</v>
      </c>
      <c r="T4" s="20" t="s">
        <v>130</v>
      </c>
    </row>
    <row r="5" spans="1:21" ht="20.25" customHeight="1" thickTop="1" x14ac:dyDescent="0.2">
      <c r="A5" s="5" t="s">
        <v>46</v>
      </c>
      <c r="B5" s="25"/>
      <c r="C5" s="25" t="s">
        <v>47</v>
      </c>
      <c r="D5" s="25">
        <v>-159.4</v>
      </c>
      <c r="E5" s="25">
        <v>-159.69999999999999</v>
      </c>
      <c r="F5" s="25">
        <v>-158.78</v>
      </c>
      <c r="G5" s="25">
        <v>-159.30000000000001</v>
      </c>
      <c r="H5" s="25">
        <v>-159.68</v>
      </c>
      <c r="I5" s="25">
        <v>-161.87</v>
      </c>
      <c r="J5" s="25">
        <v>-157.06</v>
      </c>
      <c r="K5" s="25">
        <v>-160.5</v>
      </c>
      <c r="L5" s="25">
        <v>-159.9</v>
      </c>
      <c r="M5" s="25">
        <v>-157.69999999999999</v>
      </c>
      <c r="N5" s="25">
        <v>-159.5</v>
      </c>
      <c r="O5" s="25">
        <v>-158.85</v>
      </c>
      <c r="P5" s="25">
        <v>-159.9</v>
      </c>
      <c r="Q5" s="51">
        <v>-160.1</v>
      </c>
      <c r="R5" s="51">
        <v>-158.83000000000001</v>
      </c>
      <c r="S5" s="51"/>
      <c r="T5" s="26">
        <v>-159.69999999999999</v>
      </c>
      <c r="U5" s="1"/>
    </row>
    <row r="6" spans="1:21" ht="20.25" customHeight="1" x14ac:dyDescent="0.2">
      <c r="A6" s="6" t="s">
        <v>48</v>
      </c>
      <c r="B6" s="27">
        <v>89.63</v>
      </c>
      <c r="C6" s="27">
        <v>94.95</v>
      </c>
      <c r="D6" s="27">
        <v>94.09</v>
      </c>
      <c r="E6" s="27">
        <v>96.12</v>
      </c>
      <c r="F6" s="27">
        <v>93.92</v>
      </c>
      <c r="G6" s="27">
        <v>96.31</v>
      </c>
      <c r="H6" s="27">
        <v>97.913399999999996</v>
      </c>
      <c r="I6" s="27">
        <v>92.225999999999999</v>
      </c>
      <c r="J6" s="27">
        <v>90.596000000000004</v>
      </c>
      <c r="K6" s="27" t="s">
        <v>49</v>
      </c>
      <c r="L6" s="27">
        <v>93.45</v>
      </c>
      <c r="M6" s="27">
        <v>90.41</v>
      </c>
      <c r="N6" s="27">
        <v>97.471199999999996</v>
      </c>
      <c r="O6" s="27">
        <v>91.444999999999993</v>
      </c>
      <c r="P6" s="27">
        <v>92.22</v>
      </c>
      <c r="Q6" s="52">
        <v>92.33</v>
      </c>
      <c r="R6" s="52">
        <v>86.69</v>
      </c>
      <c r="S6" s="52">
        <v>99.78</v>
      </c>
      <c r="T6" s="28">
        <v>94.23</v>
      </c>
      <c r="U6" s="1"/>
    </row>
    <row r="7" spans="1:21" ht="20.25" customHeight="1" x14ac:dyDescent="0.2">
      <c r="A7" s="6" t="s">
        <v>50</v>
      </c>
      <c r="B7" s="27">
        <v>6.32</v>
      </c>
      <c r="C7" s="27">
        <v>4.76</v>
      </c>
      <c r="D7" s="27">
        <v>5.39</v>
      </c>
      <c r="E7" s="27">
        <v>3.58</v>
      </c>
      <c r="F7" s="27">
        <v>5.81</v>
      </c>
      <c r="G7" s="27">
        <v>3.34</v>
      </c>
      <c r="H7" s="27">
        <v>1.7531000000000001</v>
      </c>
      <c r="I7" s="27">
        <v>5.3739999999999997</v>
      </c>
      <c r="J7" s="27">
        <v>6.5149999999999997</v>
      </c>
      <c r="K7" s="27">
        <v>7.2450000000000001</v>
      </c>
      <c r="L7" s="27">
        <v>6.22</v>
      </c>
      <c r="M7" s="27">
        <v>5.76</v>
      </c>
      <c r="N7" s="27">
        <v>1.8394999999999999</v>
      </c>
      <c r="O7" s="27">
        <v>5.6513</v>
      </c>
      <c r="P7" s="27">
        <v>4.13</v>
      </c>
      <c r="Q7" s="52">
        <v>4.8600000000000003</v>
      </c>
      <c r="R7" s="52">
        <v>12.66</v>
      </c>
      <c r="S7" s="52">
        <v>0.1</v>
      </c>
      <c r="T7" s="28">
        <v>4.09</v>
      </c>
      <c r="U7" s="1"/>
    </row>
    <row r="8" spans="1:21" ht="20.25" customHeight="1" x14ac:dyDescent="0.2">
      <c r="A8" s="6" t="s">
        <v>51</v>
      </c>
      <c r="B8" s="27">
        <v>2.16</v>
      </c>
      <c r="C8" s="27">
        <v>0.13</v>
      </c>
      <c r="D8" s="27">
        <v>0.33</v>
      </c>
      <c r="E8" s="27">
        <v>0.15</v>
      </c>
      <c r="F8" s="27">
        <v>0.17</v>
      </c>
      <c r="G8" s="27">
        <v>0.21</v>
      </c>
      <c r="H8" s="27">
        <v>0.26338</v>
      </c>
      <c r="I8" s="27">
        <v>1.2589999999999999</v>
      </c>
      <c r="J8" s="27">
        <v>2.149</v>
      </c>
      <c r="K8" s="27">
        <v>0.81200000000000006</v>
      </c>
      <c r="L8" s="27">
        <v>0.02</v>
      </c>
      <c r="M8" s="27">
        <v>2.23</v>
      </c>
      <c r="N8" s="27">
        <v>0.38319999999999999</v>
      </c>
      <c r="O8" s="27">
        <v>2.1263999999999998</v>
      </c>
      <c r="P8" s="27">
        <v>2.31</v>
      </c>
      <c r="Q8" s="52">
        <v>1.69</v>
      </c>
      <c r="R8" s="52">
        <v>0.49</v>
      </c>
      <c r="S8" s="52">
        <v>0</v>
      </c>
      <c r="T8" s="28">
        <v>1.05</v>
      </c>
      <c r="U8" s="1"/>
    </row>
    <row r="9" spans="1:21" ht="20.25" customHeight="1" x14ac:dyDescent="0.2">
      <c r="A9" s="6" t="s">
        <v>52</v>
      </c>
      <c r="B9" s="27">
        <v>1.2</v>
      </c>
      <c r="C9" s="27">
        <v>0.01</v>
      </c>
      <c r="D9" s="27">
        <v>0.04</v>
      </c>
      <c r="E9" s="27">
        <v>0.01</v>
      </c>
      <c r="F9" s="27">
        <v>0.01</v>
      </c>
      <c r="G9" s="27">
        <v>0.03</v>
      </c>
      <c r="H9" s="27">
        <v>2.8500000000000001E-2</v>
      </c>
      <c r="I9" s="27">
        <v>0.12</v>
      </c>
      <c r="J9" s="27">
        <v>0.32700000000000001</v>
      </c>
      <c r="K9" s="27">
        <v>2.1999999999999999E-2</v>
      </c>
      <c r="L9" s="27">
        <v>0</v>
      </c>
      <c r="M9" s="27">
        <v>0.71</v>
      </c>
      <c r="N9" s="27">
        <v>0.1787</v>
      </c>
      <c r="O9" s="27">
        <v>0.3604</v>
      </c>
      <c r="P9" s="27">
        <v>0.56000000000000005</v>
      </c>
      <c r="Q9" s="52">
        <v>0.32</v>
      </c>
      <c r="R9" s="52">
        <v>0.01</v>
      </c>
      <c r="S9" s="52">
        <v>0</v>
      </c>
      <c r="T9" s="28">
        <v>0.2</v>
      </c>
      <c r="U9" s="1"/>
    </row>
    <row r="10" spans="1:21" ht="20.25" customHeight="1" x14ac:dyDescent="0.2">
      <c r="A10" s="6" t="s">
        <v>53</v>
      </c>
      <c r="B10" s="27" t="s">
        <v>54</v>
      </c>
      <c r="C10" s="27">
        <v>0.01</v>
      </c>
      <c r="D10" s="27">
        <v>0.04</v>
      </c>
      <c r="E10" s="27">
        <v>0.01</v>
      </c>
      <c r="F10" s="27">
        <v>0.01</v>
      </c>
      <c r="G10" s="27">
        <v>0.02</v>
      </c>
      <c r="H10" s="27">
        <v>1.9400000000000001E-2</v>
      </c>
      <c r="I10" s="27">
        <v>0.28299999999999997</v>
      </c>
      <c r="J10" s="27">
        <v>0.318</v>
      </c>
      <c r="K10" s="27">
        <v>1.7999999999999999E-2</v>
      </c>
      <c r="L10" s="27">
        <v>0</v>
      </c>
      <c r="M10" s="27">
        <v>0.64</v>
      </c>
      <c r="N10" s="27">
        <v>7.4300000000000005E-2</v>
      </c>
      <c r="O10" s="27">
        <v>0.31830000000000003</v>
      </c>
      <c r="P10" s="27">
        <v>0.56000000000000005</v>
      </c>
      <c r="Q10" s="52">
        <v>0.42</v>
      </c>
      <c r="R10" s="52">
        <v>0</v>
      </c>
      <c r="S10" s="52">
        <v>0</v>
      </c>
      <c r="T10" s="28">
        <v>0.25</v>
      </c>
      <c r="U10" s="1"/>
    </row>
    <row r="11" spans="1:21" ht="20.25" customHeight="1" x14ac:dyDescent="0.2">
      <c r="A11" s="6" t="s">
        <v>55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3.3E-3</v>
      </c>
      <c r="I11" s="27">
        <v>2.1000000000000001E-2</v>
      </c>
      <c r="J11" s="27">
        <v>6.0000000000000001E-3</v>
      </c>
      <c r="K11" s="27">
        <v>0</v>
      </c>
      <c r="L11" s="27">
        <v>0</v>
      </c>
      <c r="M11" s="27">
        <v>0.02</v>
      </c>
      <c r="N11" s="27">
        <v>3.95E-2</v>
      </c>
      <c r="O11" s="27">
        <v>5.6899999999999999E-2</v>
      </c>
      <c r="P11" s="27">
        <v>0.02</v>
      </c>
      <c r="Q11" s="52">
        <v>0.06</v>
      </c>
      <c r="R11" s="52">
        <v>0</v>
      </c>
      <c r="S11" s="52">
        <v>0</v>
      </c>
      <c r="T11" s="28">
        <v>0.03</v>
      </c>
      <c r="U11" s="1"/>
    </row>
    <row r="12" spans="1:21" ht="20.25" customHeight="1" x14ac:dyDescent="0.2">
      <c r="A12" s="6" t="s">
        <v>56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1.6000000000000001E-3</v>
      </c>
      <c r="I12" s="27">
        <v>4.0000000000000001E-3</v>
      </c>
      <c r="J12" s="27">
        <v>1E-3</v>
      </c>
      <c r="K12" s="27">
        <v>0</v>
      </c>
      <c r="L12" s="27">
        <v>0</v>
      </c>
      <c r="M12" s="27">
        <v>0</v>
      </c>
      <c r="N12" s="27" t="s">
        <v>54</v>
      </c>
      <c r="O12" s="27" t="s">
        <v>54</v>
      </c>
      <c r="P12" s="27">
        <v>0</v>
      </c>
      <c r="Q12" s="52">
        <v>0.02</v>
      </c>
      <c r="R12" s="52">
        <v>0</v>
      </c>
      <c r="S12" s="52">
        <v>0</v>
      </c>
      <c r="T12" s="28">
        <v>0</v>
      </c>
      <c r="U12" s="1"/>
    </row>
    <row r="13" spans="1:21" ht="20.25" customHeight="1" x14ac:dyDescent="0.2">
      <c r="A13" s="6" t="s">
        <v>57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1E-3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 t="s">
        <v>54</v>
      </c>
      <c r="O13" s="27" t="s">
        <v>54</v>
      </c>
      <c r="P13" s="27">
        <v>0</v>
      </c>
      <c r="Q13" s="52">
        <v>0</v>
      </c>
      <c r="R13" s="52">
        <v>0</v>
      </c>
      <c r="S13" s="52">
        <v>0</v>
      </c>
      <c r="T13" s="28">
        <v>0</v>
      </c>
      <c r="U13" s="1"/>
    </row>
    <row r="14" spans="1:21" ht="20.25" customHeight="1" x14ac:dyDescent="0.2">
      <c r="A14" s="6" t="s">
        <v>58</v>
      </c>
      <c r="B14" s="27">
        <v>0.69</v>
      </c>
      <c r="C14" s="27">
        <v>0.14000000000000001</v>
      </c>
      <c r="D14" s="27">
        <v>0.11</v>
      </c>
      <c r="E14" s="27">
        <v>0.13</v>
      </c>
      <c r="F14" s="27">
        <v>0.08</v>
      </c>
      <c r="G14" s="27">
        <v>0.09</v>
      </c>
      <c r="H14" s="27">
        <v>1.5900000000000001E-2</v>
      </c>
      <c r="I14" s="27">
        <v>0.71299999999999997</v>
      </c>
      <c r="J14" s="27">
        <v>8.7999999999999995E-2</v>
      </c>
      <c r="K14" s="27">
        <v>0.67700000000000005</v>
      </c>
      <c r="L14" s="27">
        <v>0.31</v>
      </c>
      <c r="M14" s="27">
        <v>0.23</v>
      </c>
      <c r="N14" s="27">
        <v>1.34E-2</v>
      </c>
      <c r="O14" s="27">
        <v>4.1599999999999998E-2</v>
      </c>
      <c r="P14" s="27">
        <v>0.2</v>
      </c>
      <c r="Q14" s="52">
        <v>0.3</v>
      </c>
      <c r="R14" s="52">
        <v>0.15</v>
      </c>
      <c r="S14" s="52">
        <v>0.12</v>
      </c>
      <c r="T14" s="28">
        <v>0.15</v>
      </c>
      <c r="U14" s="1"/>
    </row>
    <row r="15" spans="1:21" ht="20.25" customHeight="1" x14ac:dyDescent="0.2">
      <c r="A15" s="6" t="s">
        <v>59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 t="s">
        <v>60</v>
      </c>
      <c r="P15" s="27">
        <v>0</v>
      </c>
      <c r="Q15" s="52">
        <v>0</v>
      </c>
      <c r="R15" s="52">
        <v>0</v>
      </c>
      <c r="S15" s="52">
        <v>0</v>
      </c>
      <c r="T15" s="28">
        <v>0</v>
      </c>
      <c r="U15" s="1"/>
    </row>
    <row r="16" spans="1:21" ht="20.25" customHeight="1" x14ac:dyDescent="0.2">
      <c r="A16" s="6" t="s">
        <v>61</v>
      </c>
      <c r="B16" s="27"/>
      <c r="C16" s="27" t="s">
        <v>62</v>
      </c>
      <c r="D16" s="27" t="s">
        <v>63</v>
      </c>
      <c r="E16" s="27">
        <v>0</v>
      </c>
      <c r="F16" s="27" t="s">
        <v>64</v>
      </c>
      <c r="G16" s="27">
        <v>0.01</v>
      </c>
      <c r="H16" s="27" t="s">
        <v>65</v>
      </c>
      <c r="I16" s="27">
        <v>0</v>
      </c>
      <c r="J16" s="27">
        <v>0</v>
      </c>
      <c r="K16" s="27">
        <v>0</v>
      </c>
      <c r="L16" s="27">
        <v>0</v>
      </c>
      <c r="M16" s="27" t="s">
        <v>66</v>
      </c>
      <c r="N16" s="27" t="s">
        <v>67</v>
      </c>
      <c r="O16" s="27" t="s">
        <v>68</v>
      </c>
      <c r="P16" s="27" t="s">
        <v>69</v>
      </c>
      <c r="Q16" s="52">
        <v>0</v>
      </c>
      <c r="R16" s="52">
        <v>0</v>
      </c>
      <c r="S16" s="52">
        <v>0</v>
      </c>
      <c r="T16" s="28">
        <v>0</v>
      </c>
      <c r="U16" s="1"/>
    </row>
    <row r="17" spans="1:21" ht="20.25" customHeight="1" x14ac:dyDescent="0.2">
      <c r="A17" s="6" t="s">
        <v>70</v>
      </c>
      <c r="B17" s="27"/>
      <c r="C17" s="27" t="s">
        <v>62</v>
      </c>
      <c r="D17" s="27" t="s">
        <v>71</v>
      </c>
      <c r="E17" s="27">
        <v>0</v>
      </c>
      <c r="F17" s="27" t="s">
        <v>72</v>
      </c>
      <c r="G17" s="27" t="s">
        <v>62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 t="s">
        <v>73</v>
      </c>
      <c r="O17" s="27" t="s">
        <v>68</v>
      </c>
      <c r="P17" s="27" t="s">
        <v>74</v>
      </c>
      <c r="Q17" s="52">
        <v>0</v>
      </c>
      <c r="R17" s="52" t="s">
        <v>75</v>
      </c>
      <c r="S17" s="52">
        <v>0</v>
      </c>
      <c r="T17" s="28">
        <v>0</v>
      </c>
      <c r="U17" s="1"/>
    </row>
    <row r="18" spans="1:21" ht="20.25" customHeight="1" x14ac:dyDescent="0.2">
      <c r="A18" s="6" t="s">
        <v>76</v>
      </c>
      <c r="B18" s="27"/>
      <c r="C18" s="27"/>
      <c r="D18" s="27" t="s">
        <v>77</v>
      </c>
      <c r="E18" s="27">
        <v>0</v>
      </c>
      <c r="F18" s="27" t="s">
        <v>78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 t="s">
        <v>79</v>
      </c>
      <c r="O18" s="27" t="s">
        <v>80</v>
      </c>
      <c r="P18" s="27"/>
      <c r="Q18" s="52"/>
      <c r="R18" s="52"/>
      <c r="S18" s="52"/>
      <c r="T18" s="28"/>
      <c r="U18" s="1"/>
    </row>
    <row r="19" spans="1:21" ht="20.25" customHeight="1" x14ac:dyDescent="0.2">
      <c r="A19" s="6" t="s">
        <v>81</v>
      </c>
      <c r="B19" s="27">
        <v>0.45900000000000002</v>
      </c>
      <c r="C19" s="27">
        <v>0.43419000000000002</v>
      </c>
      <c r="D19" s="27">
        <v>0.43790000000000001</v>
      </c>
      <c r="E19" s="27">
        <v>0.43176999999999999</v>
      </c>
      <c r="F19" s="27">
        <v>0.43675999999999998</v>
      </c>
      <c r="G19" s="27">
        <v>0.43120999999999998</v>
      </c>
      <c r="H19" s="27">
        <v>0.42703400000000002</v>
      </c>
      <c r="I19" s="27">
        <v>0.45030900000000001</v>
      </c>
      <c r="J19" s="27">
        <v>0.45072800000000002</v>
      </c>
      <c r="K19" s="27">
        <v>0.44834000000000002</v>
      </c>
      <c r="L19" s="27">
        <v>0.43930000000000002</v>
      </c>
      <c r="M19" s="27">
        <v>0.45838000000000001</v>
      </c>
      <c r="N19" s="27">
        <v>0.4294</v>
      </c>
      <c r="O19" s="27">
        <v>0.45162000000000002</v>
      </c>
      <c r="P19" s="27">
        <v>0.45293</v>
      </c>
      <c r="Q19" s="52">
        <v>0.45027699999999998</v>
      </c>
      <c r="R19" s="52">
        <v>0.45587</v>
      </c>
      <c r="S19" s="52">
        <v>0.42126000000000002</v>
      </c>
      <c r="T19" s="28">
        <v>0.44140000000000001</v>
      </c>
      <c r="U19" s="1"/>
    </row>
    <row r="20" spans="1:21" ht="20.25" customHeight="1" thickBot="1" x14ac:dyDescent="0.25">
      <c r="A20" s="29" t="s">
        <v>82</v>
      </c>
      <c r="B20" s="30"/>
      <c r="C20" s="30">
        <v>1047.2</v>
      </c>
      <c r="D20" s="30"/>
      <c r="E20" s="30">
        <v>1038.5999999999999</v>
      </c>
      <c r="F20" s="30">
        <v>1061.2</v>
      </c>
      <c r="G20" s="30">
        <v>1038.8</v>
      </c>
      <c r="H20" s="30"/>
      <c r="I20" s="30"/>
      <c r="J20" s="30"/>
      <c r="K20" s="30"/>
      <c r="L20" s="30"/>
      <c r="M20" s="30">
        <v>1055.1199999999999</v>
      </c>
      <c r="N20" s="30">
        <v>1035.9000000000001</v>
      </c>
      <c r="O20" s="30">
        <v>1103.9000000000001</v>
      </c>
      <c r="P20" s="30">
        <v>1099.8643</v>
      </c>
      <c r="Q20" s="53">
        <v>1088.4000000000001</v>
      </c>
      <c r="R20" s="53">
        <v>1112.3</v>
      </c>
      <c r="S20" s="53">
        <v>1010</v>
      </c>
      <c r="T20" s="31">
        <v>1068.8399999999999</v>
      </c>
      <c r="U20" s="1"/>
    </row>
    <row r="21" spans="1:21" ht="20.25" customHeight="1" thickTop="1" x14ac:dyDescent="0.2">
      <c r="U21" s="1"/>
    </row>
    <row r="22" spans="1:21" ht="20.25" customHeight="1" x14ac:dyDescent="0.2">
      <c r="U22" s="1"/>
    </row>
    <row r="23" spans="1:21" ht="20.25" customHeight="1" x14ac:dyDescent="0.2">
      <c r="U23" s="1"/>
    </row>
    <row r="24" spans="1:21" ht="20.25" customHeight="1" x14ac:dyDescent="0.2">
      <c r="U24" s="1"/>
    </row>
    <row r="25" spans="1:21" ht="20.25" customHeight="1" x14ac:dyDescent="0.2">
      <c r="U25" s="1"/>
    </row>
    <row r="26" spans="1:21" ht="20.25" customHeight="1" x14ac:dyDescent="0.2">
      <c r="U26" s="1"/>
    </row>
    <row r="27" spans="1:21" ht="20.25" customHeight="1" x14ac:dyDescent="0.2">
      <c r="U27" s="1"/>
    </row>
    <row r="28" spans="1:21" ht="20.25" customHeight="1" x14ac:dyDescent="0.2">
      <c r="U28" s="1"/>
    </row>
    <row r="29" spans="1:21" ht="20.25" customHeight="1" x14ac:dyDescent="0.2">
      <c r="U29" s="1"/>
    </row>
    <row r="30" spans="1:21" ht="20.25" customHeight="1" x14ac:dyDescent="0.2">
      <c r="U30" s="1"/>
    </row>
  </sheetData>
  <sheetProtection sheet="1" objects="1" scenarios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5297-C1A9-40FA-B6B0-AD357FBC436D}">
  <sheetPr>
    <tabColor rgb="FFFFCD26"/>
  </sheetPr>
  <dimension ref="A1:AU59"/>
  <sheetViews>
    <sheetView showGridLines="0" workbookViewId="0">
      <pane xSplit="1" ySplit="1" topLeftCell="B13" activePane="bottomRight" state="frozen"/>
      <selection pane="topRight" activeCell="B1" sqref="B1"/>
      <selection pane="bottomLeft" activeCell="A2" sqref="A2"/>
      <selection pane="bottomRight" activeCell="A30" sqref="A30"/>
    </sheetView>
  </sheetViews>
  <sheetFormatPr defaultColWidth="8.85546875" defaultRowHeight="20.25" customHeight="1" x14ac:dyDescent="0.2"/>
  <cols>
    <col min="1" max="1" width="35.5703125" style="1" customWidth="1"/>
    <col min="2" max="47" width="20.5703125" style="1" customWidth="1"/>
    <col min="48" max="249" width="8.85546875" style="1"/>
    <col min="250" max="250" width="11.85546875" style="1" customWidth="1"/>
    <col min="251" max="251" width="15" style="1" customWidth="1"/>
    <col min="252" max="252" width="12.85546875" style="1" customWidth="1"/>
    <col min="253" max="253" width="13.5703125" style="1" customWidth="1"/>
    <col min="254" max="254" width="14.140625" style="1" customWidth="1"/>
    <col min="255" max="255" width="12.5703125" style="1" customWidth="1"/>
    <col min="256" max="256" width="13.28515625" style="1" customWidth="1"/>
    <col min="257" max="505" width="8.85546875" style="1"/>
    <col min="506" max="506" width="11.85546875" style="1" customWidth="1"/>
    <col min="507" max="507" width="15" style="1" customWidth="1"/>
    <col min="508" max="508" width="12.85546875" style="1" customWidth="1"/>
    <col min="509" max="509" width="13.5703125" style="1" customWidth="1"/>
    <col min="510" max="510" width="14.140625" style="1" customWidth="1"/>
    <col min="511" max="511" width="12.5703125" style="1" customWidth="1"/>
    <col min="512" max="512" width="13.28515625" style="1" customWidth="1"/>
    <col min="513" max="761" width="8.85546875" style="1"/>
    <col min="762" max="762" width="11.85546875" style="1" customWidth="1"/>
    <col min="763" max="763" width="15" style="1" customWidth="1"/>
    <col min="764" max="764" width="12.85546875" style="1" customWidth="1"/>
    <col min="765" max="765" width="13.5703125" style="1" customWidth="1"/>
    <col min="766" max="766" width="14.140625" style="1" customWidth="1"/>
    <col min="767" max="767" width="12.5703125" style="1" customWidth="1"/>
    <col min="768" max="768" width="13.28515625" style="1" customWidth="1"/>
    <col min="769" max="1017" width="8.85546875" style="1"/>
    <col min="1018" max="1018" width="11.85546875" style="1" customWidth="1"/>
    <col min="1019" max="1019" width="15" style="1" customWidth="1"/>
    <col min="1020" max="1020" width="12.85546875" style="1" customWidth="1"/>
    <col min="1021" max="1021" width="13.5703125" style="1" customWidth="1"/>
    <col min="1022" max="1022" width="14.140625" style="1" customWidth="1"/>
    <col min="1023" max="1023" width="12.5703125" style="1" customWidth="1"/>
    <col min="1024" max="1024" width="13.28515625" style="1" customWidth="1"/>
    <col min="1025" max="1273" width="8.85546875" style="1"/>
    <col min="1274" max="1274" width="11.85546875" style="1" customWidth="1"/>
    <col min="1275" max="1275" width="15" style="1" customWidth="1"/>
    <col min="1276" max="1276" width="12.85546875" style="1" customWidth="1"/>
    <col min="1277" max="1277" width="13.5703125" style="1" customWidth="1"/>
    <col min="1278" max="1278" width="14.140625" style="1" customWidth="1"/>
    <col min="1279" max="1279" width="12.5703125" style="1" customWidth="1"/>
    <col min="1280" max="1280" width="13.28515625" style="1" customWidth="1"/>
    <col min="1281" max="1529" width="8.85546875" style="1"/>
    <col min="1530" max="1530" width="11.85546875" style="1" customWidth="1"/>
    <col min="1531" max="1531" width="15" style="1" customWidth="1"/>
    <col min="1532" max="1532" width="12.85546875" style="1" customWidth="1"/>
    <col min="1533" max="1533" width="13.5703125" style="1" customWidth="1"/>
    <col min="1534" max="1534" width="14.140625" style="1" customWidth="1"/>
    <col min="1535" max="1535" width="12.5703125" style="1" customWidth="1"/>
    <col min="1536" max="1536" width="13.28515625" style="1" customWidth="1"/>
    <col min="1537" max="1785" width="8.85546875" style="1"/>
    <col min="1786" max="1786" width="11.85546875" style="1" customWidth="1"/>
    <col min="1787" max="1787" width="15" style="1" customWidth="1"/>
    <col min="1788" max="1788" width="12.85546875" style="1" customWidth="1"/>
    <col min="1789" max="1789" width="13.5703125" style="1" customWidth="1"/>
    <col min="1790" max="1790" width="14.140625" style="1" customWidth="1"/>
    <col min="1791" max="1791" width="12.5703125" style="1" customWidth="1"/>
    <col min="1792" max="1792" width="13.28515625" style="1" customWidth="1"/>
    <col min="1793" max="2041" width="8.85546875" style="1"/>
    <col min="2042" max="2042" width="11.85546875" style="1" customWidth="1"/>
    <col min="2043" max="2043" width="15" style="1" customWidth="1"/>
    <col min="2044" max="2044" width="12.85546875" style="1" customWidth="1"/>
    <col min="2045" max="2045" width="13.5703125" style="1" customWidth="1"/>
    <col min="2046" max="2046" width="14.140625" style="1" customWidth="1"/>
    <col min="2047" max="2047" width="12.5703125" style="1" customWidth="1"/>
    <col min="2048" max="2048" width="13.28515625" style="1" customWidth="1"/>
    <col min="2049" max="2297" width="8.85546875" style="1"/>
    <col min="2298" max="2298" width="11.85546875" style="1" customWidth="1"/>
    <col min="2299" max="2299" width="15" style="1" customWidth="1"/>
    <col min="2300" max="2300" width="12.85546875" style="1" customWidth="1"/>
    <col min="2301" max="2301" width="13.5703125" style="1" customWidth="1"/>
    <col min="2302" max="2302" width="14.140625" style="1" customWidth="1"/>
    <col min="2303" max="2303" width="12.5703125" style="1" customWidth="1"/>
    <col min="2304" max="2304" width="13.28515625" style="1" customWidth="1"/>
    <col min="2305" max="2553" width="8.85546875" style="1"/>
    <col min="2554" max="2554" width="11.85546875" style="1" customWidth="1"/>
    <col min="2555" max="2555" width="15" style="1" customWidth="1"/>
    <col min="2556" max="2556" width="12.85546875" style="1" customWidth="1"/>
    <col min="2557" max="2557" width="13.5703125" style="1" customWidth="1"/>
    <col min="2558" max="2558" width="14.140625" style="1" customWidth="1"/>
    <col min="2559" max="2559" width="12.5703125" style="1" customWidth="1"/>
    <col min="2560" max="2560" width="13.28515625" style="1" customWidth="1"/>
    <col min="2561" max="2809" width="8.85546875" style="1"/>
    <col min="2810" max="2810" width="11.85546875" style="1" customWidth="1"/>
    <col min="2811" max="2811" width="15" style="1" customWidth="1"/>
    <col min="2812" max="2812" width="12.85546875" style="1" customWidth="1"/>
    <col min="2813" max="2813" width="13.5703125" style="1" customWidth="1"/>
    <col min="2814" max="2814" width="14.140625" style="1" customWidth="1"/>
    <col min="2815" max="2815" width="12.5703125" style="1" customWidth="1"/>
    <col min="2816" max="2816" width="13.28515625" style="1" customWidth="1"/>
    <col min="2817" max="3065" width="8.85546875" style="1"/>
    <col min="3066" max="3066" width="11.85546875" style="1" customWidth="1"/>
    <col min="3067" max="3067" width="15" style="1" customWidth="1"/>
    <col min="3068" max="3068" width="12.85546875" style="1" customWidth="1"/>
    <col min="3069" max="3069" width="13.5703125" style="1" customWidth="1"/>
    <col min="3070" max="3070" width="14.140625" style="1" customWidth="1"/>
    <col min="3071" max="3071" width="12.5703125" style="1" customWidth="1"/>
    <col min="3072" max="3072" width="13.28515625" style="1" customWidth="1"/>
    <col min="3073" max="3321" width="8.85546875" style="1"/>
    <col min="3322" max="3322" width="11.85546875" style="1" customWidth="1"/>
    <col min="3323" max="3323" width="15" style="1" customWidth="1"/>
    <col min="3324" max="3324" width="12.85546875" style="1" customWidth="1"/>
    <col min="3325" max="3325" width="13.5703125" style="1" customWidth="1"/>
    <col min="3326" max="3326" width="14.140625" style="1" customWidth="1"/>
    <col min="3327" max="3327" width="12.5703125" style="1" customWidth="1"/>
    <col min="3328" max="3328" width="13.28515625" style="1" customWidth="1"/>
    <col min="3329" max="3577" width="8.85546875" style="1"/>
    <col min="3578" max="3578" width="11.85546875" style="1" customWidth="1"/>
    <col min="3579" max="3579" width="15" style="1" customWidth="1"/>
    <col min="3580" max="3580" width="12.85546875" style="1" customWidth="1"/>
    <col min="3581" max="3581" width="13.5703125" style="1" customWidth="1"/>
    <col min="3582" max="3582" width="14.140625" style="1" customWidth="1"/>
    <col min="3583" max="3583" width="12.5703125" style="1" customWidth="1"/>
    <col min="3584" max="3584" width="13.28515625" style="1" customWidth="1"/>
    <col min="3585" max="3833" width="8.85546875" style="1"/>
    <col min="3834" max="3834" width="11.85546875" style="1" customWidth="1"/>
    <col min="3835" max="3835" width="15" style="1" customWidth="1"/>
    <col min="3836" max="3836" width="12.85546875" style="1" customWidth="1"/>
    <col min="3837" max="3837" width="13.5703125" style="1" customWidth="1"/>
    <col min="3838" max="3838" width="14.140625" style="1" customWidth="1"/>
    <col min="3839" max="3839" width="12.5703125" style="1" customWidth="1"/>
    <col min="3840" max="3840" width="13.28515625" style="1" customWidth="1"/>
    <col min="3841" max="4089" width="8.85546875" style="1"/>
    <col min="4090" max="4090" width="11.85546875" style="1" customWidth="1"/>
    <col min="4091" max="4091" width="15" style="1" customWidth="1"/>
    <col min="4092" max="4092" width="12.85546875" style="1" customWidth="1"/>
    <col min="4093" max="4093" width="13.5703125" style="1" customWidth="1"/>
    <col min="4094" max="4094" width="14.140625" style="1" customWidth="1"/>
    <col min="4095" max="4095" width="12.5703125" style="1" customWidth="1"/>
    <col min="4096" max="4096" width="13.28515625" style="1" customWidth="1"/>
    <col min="4097" max="4345" width="8.85546875" style="1"/>
    <col min="4346" max="4346" width="11.85546875" style="1" customWidth="1"/>
    <col min="4347" max="4347" width="15" style="1" customWidth="1"/>
    <col min="4348" max="4348" width="12.85546875" style="1" customWidth="1"/>
    <col min="4349" max="4349" width="13.5703125" style="1" customWidth="1"/>
    <col min="4350" max="4350" width="14.140625" style="1" customWidth="1"/>
    <col min="4351" max="4351" width="12.5703125" style="1" customWidth="1"/>
    <col min="4352" max="4352" width="13.28515625" style="1" customWidth="1"/>
    <col min="4353" max="4601" width="8.85546875" style="1"/>
    <col min="4602" max="4602" width="11.85546875" style="1" customWidth="1"/>
    <col min="4603" max="4603" width="15" style="1" customWidth="1"/>
    <col min="4604" max="4604" width="12.85546875" style="1" customWidth="1"/>
    <col min="4605" max="4605" width="13.5703125" style="1" customWidth="1"/>
    <col min="4606" max="4606" width="14.140625" style="1" customWidth="1"/>
    <col min="4607" max="4607" width="12.5703125" style="1" customWidth="1"/>
    <col min="4608" max="4608" width="13.28515625" style="1" customWidth="1"/>
    <col min="4609" max="4857" width="8.85546875" style="1"/>
    <col min="4858" max="4858" width="11.85546875" style="1" customWidth="1"/>
    <col min="4859" max="4859" width="15" style="1" customWidth="1"/>
    <col min="4860" max="4860" width="12.85546875" style="1" customWidth="1"/>
    <col min="4861" max="4861" width="13.5703125" style="1" customWidth="1"/>
    <col min="4862" max="4862" width="14.140625" style="1" customWidth="1"/>
    <col min="4863" max="4863" width="12.5703125" style="1" customWidth="1"/>
    <col min="4864" max="4864" width="13.28515625" style="1" customWidth="1"/>
    <col min="4865" max="5113" width="8.85546875" style="1"/>
    <col min="5114" max="5114" width="11.85546875" style="1" customWidth="1"/>
    <col min="5115" max="5115" width="15" style="1" customWidth="1"/>
    <col min="5116" max="5116" width="12.85546875" style="1" customWidth="1"/>
    <col min="5117" max="5117" width="13.5703125" style="1" customWidth="1"/>
    <col min="5118" max="5118" width="14.140625" style="1" customWidth="1"/>
    <col min="5119" max="5119" width="12.5703125" style="1" customWidth="1"/>
    <col min="5120" max="5120" width="13.28515625" style="1" customWidth="1"/>
    <col min="5121" max="5369" width="8.85546875" style="1"/>
    <col min="5370" max="5370" width="11.85546875" style="1" customWidth="1"/>
    <col min="5371" max="5371" width="15" style="1" customWidth="1"/>
    <col min="5372" max="5372" width="12.85546875" style="1" customWidth="1"/>
    <col min="5373" max="5373" width="13.5703125" style="1" customWidth="1"/>
    <col min="5374" max="5374" width="14.140625" style="1" customWidth="1"/>
    <col min="5375" max="5375" width="12.5703125" style="1" customWidth="1"/>
    <col min="5376" max="5376" width="13.28515625" style="1" customWidth="1"/>
    <col min="5377" max="5625" width="8.85546875" style="1"/>
    <col min="5626" max="5626" width="11.85546875" style="1" customWidth="1"/>
    <col min="5627" max="5627" width="15" style="1" customWidth="1"/>
    <col min="5628" max="5628" width="12.85546875" style="1" customWidth="1"/>
    <col min="5629" max="5629" width="13.5703125" style="1" customWidth="1"/>
    <col min="5630" max="5630" width="14.140625" style="1" customWidth="1"/>
    <col min="5631" max="5631" width="12.5703125" style="1" customWidth="1"/>
    <col min="5632" max="5632" width="13.28515625" style="1" customWidth="1"/>
    <col min="5633" max="5881" width="8.85546875" style="1"/>
    <col min="5882" max="5882" width="11.85546875" style="1" customWidth="1"/>
    <col min="5883" max="5883" width="15" style="1" customWidth="1"/>
    <col min="5884" max="5884" width="12.85546875" style="1" customWidth="1"/>
    <col min="5885" max="5885" width="13.5703125" style="1" customWidth="1"/>
    <col min="5886" max="5886" width="14.140625" style="1" customWidth="1"/>
    <col min="5887" max="5887" width="12.5703125" style="1" customWidth="1"/>
    <col min="5888" max="5888" width="13.28515625" style="1" customWidth="1"/>
    <col min="5889" max="6137" width="8.85546875" style="1"/>
    <col min="6138" max="6138" width="11.85546875" style="1" customWidth="1"/>
    <col min="6139" max="6139" width="15" style="1" customWidth="1"/>
    <col min="6140" max="6140" width="12.85546875" style="1" customWidth="1"/>
    <col min="6141" max="6141" width="13.5703125" style="1" customWidth="1"/>
    <col min="6142" max="6142" width="14.140625" style="1" customWidth="1"/>
    <col min="6143" max="6143" width="12.5703125" style="1" customWidth="1"/>
    <col min="6144" max="6144" width="13.28515625" style="1" customWidth="1"/>
    <col min="6145" max="6393" width="8.85546875" style="1"/>
    <col min="6394" max="6394" width="11.85546875" style="1" customWidth="1"/>
    <col min="6395" max="6395" width="15" style="1" customWidth="1"/>
    <col min="6396" max="6396" width="12.85546875" style="1" customWidth="1"/>
    <col min="6397" max="6397" width="13.5703125" style="1" customWidth="1"/>
    <col min="6398" max="6398" width="14.140625" style="1" customWidth="1"/>
    <col min="6399" max="6399" width="12.5703125" style="1" customWidth="1"/>
    <col min="6400" max="6400" width="13.28515625" style="1" customWidth="1"/>
    <col min="6401" max="6649" width="8.85546875" style="1"/>
    <col min="6650" max="6650" width="11.85546875" style="1" customWidth="1"/>
    <col min="6651" max="6651" width="15" style="1" customWidth="1"/>
    <col min="6652" max="6652" width="12.85546875" style="1" customWidth="1"/>
    <col min="6653" max="6653" width="13.5703125" style="1" customWidth="1"/>
    <col min="6654" max="6654" width="14.140625" style="1" customWidth="1"/>
    <col min="6655" max="6655" width="12.5703125" style="1" customWidth="1"/>
    <col min="6656" max="6656" width="13.28515625" style="1" customWidth="1"/>
    <col min="6657" max="6905" width="8.85546875" style="1"/>
    <col min="6906" max="6906" width="11.85546875" style="1" customWidth="1"/>
    <col min="6907" max="6907" width="15" style="1" customWidth="1"/>
    <col min="6908" max="6908" width="12.85546875" style="1" customWidth="1"/>
    <col min="6909" max="6909" width="13.5703125" style="1" customWidth="1"/>
    <col min="6910" max="6910" width="14.140625" style="1" customWidth="1"/>
    <col min="6911" max="6911" width="12.5703125" style="1" customWidth="1"/>
    <col min="6912" max="6912" width="13.28515625" style="1" customWidth="1"/>
    <col min="6913" max="7161" width="8.85546875" style="1"/>
    <col min="7162" max="7162" width="11.85546875" style="1" customWidth="1"/>
    <col min="7163" max="7163" width="15" style="1" customWidth="1"/>
    <col min="7164" max="7164" width="12.85546875" style="1" customWidth="1"/>
    <col min="7165" max="7165" width="13.5703125" style="1" customWidth="1"/>
    <col min="7166" max="7166" width="14.140625" style="1" customWidth="1"/>
    <col min="7167" max="7167" width="12.5703125" style="1" customWidth="1"/>
    <col min="7168" max="7168" width="13.28515625" style="1" customWidth="1"/>
    <col min="7169" max="7417" width="8.85546875" style="1"/>
    <col min="7418" max="7418" width="11.85546875" style="1" customWidth="1"/>
    <col min="7419" max="7419" width="15" style="1" customWidth="1"/>
    <col min="7420" max="7420" width="12.85546875" style="1" customWidth="1"/>
    <col min="7421" max="7421" width="13.5703125" style="1" customWidth="1"/>
    <col min="7422" max="7422" width="14.140625" style="1" customWidth="1"/>
    <col min="7423" max="7423" width="12.5703125" style="1" customWidth="1"/>
    <col min="7424" max="7424" width="13.28515625" style="1" customWidth="1"/>
    <col min="7425" max="7673" width="8.85546875" style="1"/>
    <col min="7674" max="7674" width="11.85546875" style="1" customWidth="1"/>
    <col min="7675" max="7675" width="15" style="1" customWidth="1"/>
    <col min="7676" max="7676" width="12.85546875" style="1" customWidth="1"/>
    <col min="7677" max="7677" width="13.5703125" style="1" customWidth="1"/>
    <col min="7678" max="7678" width="14.140625" style="1" customWidth="1"/>
    <col min="7679" max="7679" width="12.5703125" style="1" customWidth="1"/>
    <col min="7680" max="7680" width="13.28515625" style="1" customWidth="1"/>
    <col min="7681" max="7929" width="8.85546875" style="1"/>
    <col min="7930" max="7930" width="11.85546875" style="1" customWidth="1"/>
    <col min="7931" max="7931" width="15" style="1" customWidth="1"/>
    <col min="7932" max="7932" width="12.85546875" style="1" customWidth="1"/>
    <col min="7933" max="7933" width="13.5703125" style="1" customWidth="1"/>
    <col min="7934" max="7934" width="14.140625" style="1" customWidth="1"/>
    <col min="7935" max="7935" width="12.5703125" style="1" customWidth="1"/>
    <col min="7936" max="7936" width="13.28515625" style="1" customWidth="1"/>
    <col min="7937" max="8185" width="8.85546875" style="1"/>
    <col min="8186" max="8186" width="11.85546875" style="1" customWidth="1"/>
    <col min="8187" max="8187" width="15" style="1" customWidth="1"/>
    <col min="8188" max="8188" width="12.85546875" style="1" customWidth="1"/>
    <col min="8189" max="8189" width="13.5703125" style="1" customWidth="1"/>
    <col min="8190" max="8190" width="14.140625" style="1" customWidth="1"/>
    <col min="8191" max="8191" width="12.5703125" style="1" customWidth="1"/>
    <col min="8192" max="8192" width="13.28515625" style="1" customWidth="1"/>
    <col min="8193" max="8441" width="8.85546875" style="1"/>
    <col min="8442" max="8442" width="11.85546875" style="1" customWidth="1"/>
    <col min="8443" max="8443" width="15" style="1" customWidth="1"/>
    <col min="8444" max="8444" width="12.85546875" style="1" customWidth="1"/>
    <col min="8445" max="8445" width="13.5703125" style="1" customWidth="1"/>
    <col min="8446" max="8446" width="14.140625" style="1" customWidth="1"/>
    <col min="8447" max="8447" width="12.5703125" style="1" customWidth="1"/>
    <col min="8448" max="8448" width="13.28515625" style="1" customWidth="1"/>
    <col min="8449" max="8697" width="8.85546875" style="1"/>
    <col min="8698" max="8698" width="11.85546875" style="1" customWidth="1"/>
    <col min="8699" max="8699" width="15" style="1" customWidth="1"/>
    <col min="8700" max="8700" width="12.85546875" style="1" customWidth="1"/>
    <col min="8701" max="8701" width="13.5703125" style="1" customWidth="1"/>
    <col min="8702" max="8702" width="14.140625" style="1" customWidth="1"/>
    <col min="8703" max="8703" width="12.5703125" style="1" customWidth="1"/>
    <col min="8704" max="8704" width="13.28515625" style="1" customWidth="1"/>
    <col min="8705" max="8953" width="8.85546875" style="1"/>
    <col min="8954" max="8954" width="11.85546875" style="1" customWidth="1"/>
    <col min="8955" max="8955" width="15" style="1" customWidth="1"/>
    <col min="8956" max="8956" width="12.85546875" style="1" customWidth="1"/>
    <col min="8957" max="8957" width="13.5703125" style="1" customWidth="1"/>
    <col min="8958" max="8958" width="14.140625" style="1" customWidth="1"/>
    <col min="8959" max="8959" width="12.5703125" style="1" customWidth="1"/>
    <col min="8960" max="8960" width="13.28515625" style="1" customWidth="1"/>
    <col min="8961" max="9209" width="8.85546875" style="1"/>
    <col min="9210" max="9210" width="11.85546875" style="1" customWidth="1"/>
    <col min="9211" max="9211" width="15" style="1" customWidth="1"/>
    <col min="9212" max="9212" width="12.85546875" style="1" customWidth="1"/>
    <col min="9213" max="9213" width="13.5703125" style="1" customWidth="1"/>
    <col min="9214" max="9214" width="14.140625" style="1" customWidth="1"/>
    <col min="9215" max="9215" width="12.5703125" style="1" customWidth="1"/>
    <col min="9216" max="9216" width="13.28515625" style="1" customWidth="1"/>
    <col min="9217" max="9465" width="8.85546875" style="1"/>
    <col min="9466" max="9466" width="11.85546875" style="1" customWidth="1"/>
    <col min="9467" max="9467" width="15" style="1" customWidth="1"/>
    <col min="9468" max="9468" width="12.85546875" style="1" customWidth="1"/>
    <col min="9469" max="9469" width="13.5703125" style="1" customWidth="1"/>
    <col min="9470" max="9470" width="14.140625" style="1" customWidth="1"/>
    <col min="9471" max="9471" width="12.5703125" style="1" customWidth="1"/>
    <col min="9472" max="9472" width="13.28515625" style="1" customWidth="1"/>
    <col min="9473" max="9721" width="8.85546875" style="1"/>
    <col min="9722" max="9722" width="11.85546875" style="1" customWidth="1"/>
    <col min="9723" max="9723" width="15" style="1" customWidth="1"/>
    <col min="9724" max="9724" width="12.85546875" style="1" customWidth="1"/>
    <col min="9725" max="9725" width="13.5703125" style="1" customWidth="1"/>
    <col min="9726" max="9726" width="14.140625" style="1" customWidth="1"/>
    <col min="9727" max="9727" width="12.5703125" style="1" customWidth="1"/>
    <col min="9728" max="9728" width="13.28515625" style="1" customWidth="1"/>
    <col min="9729" max="9977" width="8.85546875" style="1"/>
    <col min="9978" max="9978" width="11.85546875" style="1" customWidth="1"/>
    <col min="9979" max="9979" width="15" style="1" customWidth="1"/>
    <col min="9980" max="9980" width="12.85546875" style="1" customWidth="1"/>
    <col min="9981" max="9981" width="13.5703125" style="1" customWidth="1"/>
    <col min="9982" max="9982" width="14.140625" style="1" customWidth="1"/>
    <col min="9983" max="9983" width="12.5703125" style="1" customWidth="1"/>
    <col min="9984" max="9984" width="13.28515625" style="1" customWidth="1"/>
    <col min="9985" max="10233" width="8.85546875" style="1"/>
    <col min="10234" max="10234" width="11.85546875" style="1" customWidth="1"/>
    <col min="10235" max="10235" width="15" style="1" customWidth="1"/>
    <col min="10236" max="10236" width="12.85546875" style="1" customWidth="1"/>
    <col min="10237" max="10237" width="13.5703125" style="1" customWidth="1"/>
    <col min="10238" max="10238" width="14.140625" style="1" customWidth="1"/>
    <col min="10239" max="10239" width="12.5703125" style="1" customWidth="1"/>
    <col min="10240" max="10240" width="13.28515625" style="1" customWidth="1"/>
    <col min="10241" max="10489" width="8.85546875" style="1"/>
    <col min="10490" max="10490" width="11.85546875" style="1" customWidth="1"/>
    <col min="10491" max="10491" width="15" style="1" customWidth="1"/>
    <col min="10492" max="10492" width="12.85546875" style="1" customWidth="1"/>
    <col min="10493" max="10493" width="13.5703125" style="1" customWidth="1"/>
    <col min="10494" max="10494" width="14.140625" style="1" customWidth="1"/>
    <col min="10495" max="10495" width="12.5703125" style="1" customWidth="1"/>
    <col min="10496" max="10496" width="13.28515625" style="1" customWidth="1"/>
    <col min="10497" max="10745" width="8.85546875" style="1"/>
    <col min="10746" max="10746" width="11.85546875" style="1" customWidth="1"/>
    <col min="10747" max="10747" width="15" style="1" customWidth="1"/>
    <col min="10748" max="10748" width="12.85546875" style="1" customWidth="1"/>
    <col min="10749" max="10749" width="13.5703125" style="1" customWidth="1"/>
    <col min="10750" max="10750" width="14.140625" style="1" customWidth="1"/>
    <col min="10751" max="10751" width="12.5703125" style="1" customWidth="1"/>
    <col min="10752" max="10752" width="13.28515625" style="1" customWidth="1"/>
    <col min="10753" max="11001" width="8.85546875" style="1"/>
    <col min="11002" max="11002" width="11.85546875" style="1" customWidth="1"/>
    <col min="11003" max="11003" width="15" style="1" customWidth="1"/>
    <col min="11004" max="11004" width="12.85546875" style="1" customWidth="1"/>
    <col min="11005" max="11005" width="13.5703125" style="1" customWidth="1"/>
    <col min="11006" max="11006" width="14.140625" style="1" customWidth="1"/>
    <col min="11007" max="11007" width="12.5703125" style="1" customWidth="1"/>
    <col min="11008" max="11008" width="13.28515625" style="1" customWidth="1"/>
    <col min="11009" max="11257" width="8.85546875" style="1"/>
    <col min="11258" max="11258" width="11.85546875" style="1" customWidth="1"/>
    <col min="11259" max="11259" width="15" style="1" customWidth="1"/>
    <col min="11260" max="11260" width="12.85546875" style="1" customWidth="1"/>
    <col min="11261" max="11261" width="13.5703125" style="1" customWidth="1"/>
    <col min="11262" max="11262" width="14.140625" style="1" customWidth="1"/>
    <col min="11263" max="11263" width="12.5703125" style="1" customWidth="1"/>
    <col min="11264" max="11264" width="13.28515625" style="1" customWidth="1"/>
    <col min="11265" max="11513" width="8.85546875" style="1"/>
    <col min="11514" max="11514" width="11.85546875" style="1" customWidth="1"/>
    <col min="11515" max="11515" width="15" style="1" customWidth="1"/>
    <col min="11516" max="11516" width="12.85546875" style="1" customWidth="1"/>
    <col min="11517" max="11517" width="13.5703125" style="1" customWidth="1"/>
    <col min="11518" max="11518" width="14.140625" style="1" customWidth="1"/>
    <col min="11519" max="11519" width="12.5703125" style="1" customWidth="1"/>
    <col min="11520" max="11520" width="13.28515625" style="1" customWidth="1"/>
    <col min="11521" max="11769" width="8.85546875" style="1"/>
    <col min="11770" max="11770" width="11.85546875" style="1" customWidth="1"/>
    <col min="11771" max="11771" width="15" style="1" customWidth="1"/>
    <col min="11772" max="11772" width="12.85546875" style="1" customWidth="1"/>
    <col min="11773" max="11773" width="13.5703125" style="1" customWidth="1"/>
    <col min="11774" max="11774" width="14.140625" style="1" customWidth="1"/>
    <col min="11775" max="11775" width="12.5703125" style="1" customWidth="1"/>
    <col min="11776" max="11776" width="13.28515625" style="1" customWidth="1"/>
    <col min="11777" max="12025" width="8.85546875" style="1"/>
    <col min="12026" max="12026" width="11.85546875" style="1" customWidth="1"/>
    <col min="12027" max="12027" width="15" style="1" customWidth="1"/>
    <col min="12028" max="12028" width="12.85546875" style="1" customWidth="1"/>
    <col min="12029" max="12029" width="13.5703125" style="1" customWidth="1"/>
    <col min="12030" max="12030" width="14.140625" style="1" customWidth="1"/>
    <col min="12031" max="12031" width="12.5703125" style="1" customWidth="1"/>
    <col min="12032" max="12032" width="13.28515625" style="1" customWidth="1"/>
    <col min="12033" max="12281" width="8.85546875" style="1"/>
    <col min="12282" max="12282" width="11.85546875" style="1" customWidth="1"/>
    <col min="12283" max="12283" width="15" style="1" customWidth="1"/>
    <col min="12284" max="12284" width="12.85546875" style="1" customWidth="1"/>
    <col min="12285" max="12285" width="13.5703125" style="1" customWidth="1"/>
    <col min="12286" max="12286" width="14.140625" style="1" customWidth="1"/>
    <col min="12287" max="12287" width="12.5703125" style="1" customWidth="1"/>
    <col min="12288" max="12288" width="13.28515625" style="1" customWidth="1"/>
    <col min="12289" max="12537" width="8.85546875" style="1"/>
    <col min="12538" max="12538" width="11.85546875" style="1" customWidth="1"/>
    <col min="12539" max="12539" width="15" style="1" customWidth="1"/>
    <col min="12540" max="12540" width="12.85546875" style="1" customWidth="1"/>
    <col min="12541" max="12541" width="13.5703125" style="1" customWidth="1"/>
    <col min="12542" max="12542" width="14.140625" style="1" customWidth="1"/>
    <col min="12543" max="12543" width="12.5703125" style="1" customWidth="1"/>
    <col min="12544" max="12544" width="13.28515625" style="1" customWidth="1"/>
    <col min="12545" max="12793" width="8.85546875" style="1"/>
    <col min="12794" max="12794" width="11.85546875" style="1" customWidth="1"/>
    <col min="12795" max="12795" width="15" style="1" customWidth="1"/>
    <col min="12796" max="12796" width="12.85546875" style="1" customWidth="1"/>
    <col min="12797" max="12797" width="13.5703125" style="1" customWidth="1"/>
    <col min="12798" max="12798" width="14.140625" style="1" customWidth="1"/>
    <col min="12799" max="12799" width="12.5703125" style="1" customWidth="1"/>
    <col min="12800" max="12800" width="13.28515625" style="1" customWidth="1"/>
    <col min="12801" max="13049" width="8.85546875" style="1"/>
    <col min="13050" max="13050" width="11.85546875" style="1" customWidth="1"/>
    <col min="13051" max="13051" width="15" style="1" customWidth="1"/>
    <col min="13052" max="13052" width="12.85546875" style="1" customWidth="1"/>
    <col min="13053" max="13053" width="13.5703125" style="1" customWidth="1"/>
    <col min="13054" max="13054" width="14.140625" style="1" customWidth="1"/>
    <col min="13055" max="13055" width="12.5703125" style="1" customWidth="1"/>
    <col min="13056" max="13056" width="13.28515625" style="1" customWidth="1"/>
    <col min="13057" max="13305" width="8.85546875" style="1"/>
    <col min="13306" max="13306" width="11.85546875" style="1" customWidth="1"/>
    <col min="13307" max="13307" width="15" style="1" customWidth="1"/>
    <col min="13308" max="13308" width="12.85546875" style="1" customWidth="1"/>
    <col min="13309" max="13309" width="13.5703125" style="1" customWidth="1"/>
    <col min="13310" max="13310" width="14.140625" style="1" customWidth="1"/>
    <col min="13311" max="13311" width="12.5703125" style="1" customWidth="1"/>
    <col min="13312" max="13312" width="13.28515625" style="1" customWidth="1"/>
    <col min="13313" max="13561" width="8.85546875" style="1"/>
    <col min="13562" max="13562" width="11.85546875" style="1" customWidth="1"/>
    <col min="13563" max="13563" width="15" style="1" customWidth="1"/>
    <col min="13564" max="13564" width="12.85546875" style="1" customWidth="1"/>
    <col min="13565" max="13565" width="13.5703125" style="1" customWidth="1"/>
    <col min="13566" max="13566" width="14.140625" style="1" customWidth="1"/>
    <col min="13567" max="13567" width="12.5703125" style="1" customWidth="1"/>
    <col min="13568" max="13568" width="13.28515625" style="1" customWidth="1"/>
    <col min="13569" max="13817" width="8.85546875" style="1"/>
    <col min="13818" max="13818" width="11.85546875" style="1" customWidth="1"/>
    <col min="13819" max="13819" width="15" style="1" customWidth="1"/>
    <col min="13820" max="13820" width="12.85546875" style="1" customWidth="1"/>
    <col min="13821" max="13821" width="13.5703125" style="1" customWidth="1"/>
    <col min="13822" max="13822" width="14.140625" style="1" customWidth="1"/>
    <col min="13823" max="13823" width="12.5703125" style="1" customWidth="1"/>
    <col min="13824" max="13824" width="13.28515625" style="1" customWidth="1"/>
    <col min="13825" max="14073" width="8.85546875" style="1"/>
    <col min="14074" max="14074" width="11.85546875" style="1" customWidth="1"/>
    <col min="14075" max="14075" width="15" style="1" customWidth="1"/>
    <col min="14076" max="14076" width="12.85546875" style="1" customWidth="1"/>
    <col min="14077" max="14077" width="13.5703125" style="1" customWidth="1"/>
    <col min="14078" max="14078" width="14.140625" style="1" customWidth="1"/>
    <col min="14079" max="14079" width="12.5703125" style="1" customWidth="1"/>
    <col min="14080" max="14080" width="13.28515625" style="1" customWidth="1"/>
    <col min="14081" max="14329" width="8.85546875" style="1"/>
    <col min="14330" max="14330" width="11.85546875" style="1" customWidth="1"/>
    <col min="14331" max="14331" width="15" style="1" customWidth="1"/>
    <col min="14332" max="14332" width="12.85546875" style="1" customWidth="1"/>
    <col min="14333" max="14333" width="13.5703125" style="1" customWidth="1"/>
    <col min="14334" max="14334" width="14.140625" style="1" customWidth="1"/>
    <col min="14335" max="14335" width="12.5703125" style="1" customWidth="1"/>
    <col min="14336" max="14336" width="13.28515625" style="1" customWidth="1"/>
    <col min="14337" max="14585" width="8.85546875" style="1"/>
    <col min="14586" max="14586" width="11.85546875" style="1" customWidth="1"/>
    <col min="14587" max="14587" width="15" style="1" customWidth="1"/>
    <col min="14588" max="14588" width="12.85546875" style="1" customWidth="1"/>
    <col min="14589" max="14589" width="13.5703125" style="1" customWidth="1"/>
    <col min="14590" max="14590" width="14.140625" style="1" customWidth="1"/>
    <col min="14591" max="14591" width="12.5703125" style="1" customWidth="1"/>
    <col min="14592" max="14592" width="13.28515625" style="1" customWidth="1"/>
    <col min="14593" max="14841" width="8.85546875" style="1"/>
    <col min="14842" max="14842" width="11.85546875" style="1" customWidth="1"/>
    <col min="14843" max="14843" width="15" style="1" customWidth="1"/>
    <col min="14844" max="14844" width="12.85546875" style="1" customWidth="1"/>
    <col min="14845" max="14845" width="13.5703125" style="1" customWidth="1"/>
    <col min="14846" max="14846" width="14.140625" style="1" customWidth="1"/>
    <col min="14847" max="14847" width="12.5703125" style="1" customWidth="1"/>
    <col min="14848" max="14848" width="13.28515625" style="1" customWidth="1"/>
    <col min="14849" max="15097" width="8.85546875" style="1"/>
    <col min="15098" max="15098" width="11.85546875" style="1" customWidth="1"/>
    <col min="15099" max="15099" width="15" style="1" customWidth="1"/>
    <col min="15100" max="15100" width="12.85546875" style="1" customWidth="1"/>
    <col min="15101" max="15101" width="13.5703125" style="1" customWidth="1"/>
    <col min="15102" max="15102" width="14.140625" style="1" customWidth="1"/>
    <col min="15103" max="15103" width="12.5703125" style="1" customWidth="1"/>
    <col min="15104" max="15104" width="13.28515625" style="1" customWidth="1"/>
    <col min="15105" max="15353" width="8.85546875" style="1"/>
    <col min="15354" max="15354" width="11.85546875" style="1" customWidth="1"/>
    <col min="15355" max="15355" width="15" style="1" customWidth="1"/>
    <col min="15356" max="15356" width="12.85546875" style="1" customWidth="1"/>
    <col min="15357" max="15357" width="13.5703125" style="1" customWidth="1"/>
    <col min="15358" max="15358" width="14.140625" style="1" customWidth="1"/>
    <col min="15359" max="15359" width="12.5703125" style="1" customWidth="1"/>
    <col min="15360" max="15360" width="13.28515625" style="1" customWidth="1"/>
    <col min="15361" max="15609" width="8.85546875" style="1"/>
    <col min="15610" max="15610" width="11.85546875" style="1" customWidth="1"/>
    <col min="15611" max="15611" width="15" style="1" customWidth="1"/>
    <col min="15612" max="15612" width="12.85546875" style="1" customWidth="1"/>
    <col min="15613" max="15613" width="13.5703125" style="1" customWidth="1"/>
    <col min="15614" max="15614" width="14.140625" style="1" customWidth="1"/>
    <col min="15615" max="15615" width="12.5703125" style="1" customWidth="1"/>
    <col min="15616" max="15616" width="13.28515625" style="1" customWidth="1"/>
    <col min="15617" max="15865" width="8.85546875" style="1"/>
    <col min="15866" max="15866" width="11.85546875" style="1" customWidth="1"/>
    <col min="15867" max="15867" width="15" style="1" customWidth="1"/>
    <col min="15868" max="15868" width="12.85546875" style="1" customWidth="1"/>
    <col min="15869" max="15869" width="13.5703125" style="1" customWidth="1"/>
    <col min="15870" max="15870" width="14.140625" style="1" customWidth="1"/>
    <col min="15871" max="15871" width="12.5703125" style="1" customWidth="1"/>
    <col min="15872" max="15872" width="13.28515625" style="1" customWidth="1"/>
    <col min="15873" max="16121" width="8.85546875" style="1"/>
    <col min="16122" max="16122" width="11.85546875" style="1" customWidth="1"/>
    <col min="16123" max="16123" width="15" style="1" customWidth="1"/>
    <col min="16124" max="16124" width="12.85546875" style="1" customWidth="1"/>
    <col min="16125" max="16125" width="13.5703125" style="1" customWidth="1"/>
    <col min="16126" max="16126" width="14.140625" style="1" customWidth="1"/>
    <col min="16127" max="16127" width="12.5703125" style="1" customWidth="1"/>
    <col min="16128" max="16128" width="13.28515625" style="1" customWidth="1"/>
    <col min="16129" max="16384" width="8.85546875" style="1"/>
  </cols>
  <sheetData>
    <row r="1" spans="1:42" ht="60" customHeight="1" x14ac:dyDescent="0.2">
      <c r="B1" s="11" t="s">
        <v>135</v>
      </c>
      <c r="C1" s="11"/>
      <c r="D1" s="11"/>
      <c r="E1" s="11"/>
      <c r="F1" s="11"/>
      <c r="G1" s="11"/>
    </row>
    <row r="2" spans="1:42" ht="20.25" customHeight="1" thickBot="1" x14ac:dyDescent="0.25"/>
    <row r="3" spans="1:42" s="19" customFormat="1" ht="35.1" customHeight="1" thickTop="1" thickBot="1" x14ac:dyDescent="0.25">
      <c r="A3" s="18" t="s">
        <v>4</v>
      </c>
      <c r="B3" s="40" t="s">
        <v>141</v>
      </c>
      <c r="C3" s="58" t="s">
        <v>142</v>
      </c>
      <c r="D3" s="40" t="s">
        <v>30</v>
      </c>
      <c r="E3" s="40" t="s">
        <v>33</v>
      </c>
      <c r="F3" s="50" t="s">
        <v>34</v>
      </c>
      <c r="G3" s="50" t="s">
        <v>146</v>
      </c>
      <c r="H3" s="50" t="s">
        <v>136</v>
      </c>
      <c r="I3" s="39" t="s">
        <v>31</v>
      </c>
      <c r="J3" s="40" t="s">
        <v>32</v>
      </c>
      <c r="K3" s="39" t="s">
        <v>137</v>
      </c>
      <c r="L3" s="39" t="s">
        <v>138</v>
      </c>
      <c r="M3" s="39" t="s">
        <v>139</v>
      </c>
      <c r="N3" s="20" t="s">
        <v>140</v>
      </c>
    </row>
    <row r="4" spans="1:42" ht="20.25" customHeight="1" thickTop="1" x14ac:dyDescent="0.2">
      <c r="A4" s="15" t="s">
        <v>20</v>
      </c>
      <c r="B4" s="41"/>
      <c r="C4" s="41"/>
      <c r="D4" s="41">
        <v>15</v>
      </c>
      <c r="E4" s="41"/>
      <c r="F4" s="48"/>
      <c r="G4" s="48">
        <v>15</v>
      </c>
      <c r="H4" s="48"/>
      <c r="I4" s="41"/>
      <c r="J4" s="41"/>
      <c r="K4" s="41"/>
      <c r="L4" s="41"/>
      <c r="M4" s="41"/>
      <c r="N4" s="42"/>
    </row>
    <row r="5" spans="1:42" ht="20.25" customHeight="1" x14ac:dyDescent="0.2">
      <c r="A5" s="6" t="s">
        <v>21</v>
      </c>
      <c r="B5" s="54">
        <v>16.042459999999998</v>
      </c>
      <c r="C5" s="54">
        <v>16.043030000000002</v>
      </c>
      <c r="D5" s="54">
        <v>4.4519999999999997E-2</v>
      </c>
      <c r="E5" s="59">
        <v>55.575000000000003</v>
      </c>
      <c r="F5" s="60">
        <v>37.704000000000001</v>
      </c>
      <c r="G5" s="60">
        <v>891.51</v>
      </c>
      <c r="H5" s="60">
        <v>0.19</v>
      </c>
      <c r="I5" s="41">
        <v>111.67</v>
      </c>
      <c r="J5" s="41">
        <f>I5-273.15</f>
        <v>-161.47999999999996</v>
      </c>
      <c r="K5" s="41">
        <v>190.55500000000001</v>
      </c>
      <c r="L5" s="41">
        <f>K5-273.15</f>
        <v>-82.59499999999997</v>
      </c>
      <c r="M5" s="41">
        <v>7.4000000000000003E-3</v>
      </c>
      <c r="N5" s="42">
        <v>9.9390000000000006E-2</v>
      </c>
      <c r="O5" s="63"/>
    </row>
    <row r="6" spans="1:42" ht="20.25" customHeight="1" x14ac:dyDescent="0.2">
      <c r="A6" s="6" t="s">
        <v>22</v>
      </c>
      <c r="B6" s="54">
        <v>30.069040000000001</v>
      </c>
      <c r="C6" s="54">
        <v>30.070119999999999</v>
      </c>
      <c r="D6" s="54">
        <v>9.1899999999999996E-2</v>
      </c>
      <c r="E6" s="59">
        <v>51.951000000000001</v>
      </c>
      <c r="F6" s="60">
        <v>66.069999999999993</v>
      </c>
      <c r="G6" s="60">
        <v>1562.14</v>
      </c>
      <c r="H6" s="60">
        <v>0.51</v>
      </c>
      <c r="I6" s="41">
        <v>184.57</v>
      </c>
      <c r="J6" s="41">
        <f t="shared" ref="J6:L13" si="0">I6-273.15</f>
        <v>-88.579999999999984</v>
      </c>
      <c r="K6" s="41">
        <v>305.42</v>
      </c>
      <c r="L6" s="41">
        <f t="shared" si="0"/>
        <v>32.270000000000039</v>
      </c>
      <c r="M6" s="41">
        <v>9.8299999999999998E-2</v>
      </c>
      <c r="N6" s="42">
        <v>0.14580000000000001</v>
      </c>
      <c r="O6" s="63"/>
      <c r="P6" s="63"/>
    </row>
    <row r="7" spans="1:42" s="8" customFormat="1" ht="20.25" customHeight="1" x14ac:dyDescent="0.2">
      <c r="A7" s="6" t="s">
        <v>23</v>
      </c>
      <c r="B7" s="54">
        <v>44.095619999999997</v>
      </c>
      <c r="C7" s="54">
        <v>44.097209999999997</v>
      </c>
      <c r="D7" s="54">
        <v>0.13439999999999999</v>
      </c>
      <c r="E7" s="59">
        <v>50.369</v>
      </c>
      <c r="F7" s="60">
        <v>93.94</v>
      </c>
      <c r="G7" s="60">
        <v>2221.1</v>
      </c>
      <c r="H7" s="60">
        <v>0.51</v>
      </c>
      <c r="I7" s="41">
        <v>231.04</v>
      </c>
      <c r="J7" s="41">
        <f t="shared" si="0"/>
        <v>-42.109999999999985</v>
      </c>
      <c r="K7" s="41">
        <v>369.82</v>
      </c>
      <c r="L7" s="41">
        <f t="shared" si="0"/>
        <v>96.670000000000016</v>
      </c>
      <c r="M7" s="41">
        <v>0.1532</v>
      </c>
      <c r="N7" s="42">
        <v>0.2001</v>
      </c>
      <c r="O7" s="63"/>
      <c r="P7" s="63"/>
    </row>
    <row r="8" spans="1:42" ht="20.25" customHeight="1" x14ac:dyDescent="0.2">
      <c r="A8" s="6" t="s">
        <v>24</v>
      </c>
      <c r="B8" s="54">
        <v>58.122199999999999</v>
      </c>
      <c r="C8" s="54">
        <v>58.124299999999998</v>
      </c>
      <c r="D8" s="54">
        <v>0.17219999999999999</v>
      </c>
      <c r="E8" s="59">
        <v>49.387999999999998</v>
      </c>
      <c r="F8" s="60">
        <v>121.4</v>
      </c>
      <c r="G8" s="60">
        <v>2870.58</v>
      </c>
      <c r="H8" s="60">
        <v>0.72</v>
      </c>
      <c r="I8" s="41">
        <v>261.39999999999998</v>
      </c>
      <c r="J8" s="41">
        <f t="shared" si="0"/>
        <v>-11.75</v>
      </c>
      <c r="K8" s="41">
        <v>408.14</v>
      </c>
      <c r="L8" s="41">
        <f t="shared" si="0"/>
        <v>134.99</v>
      </c>
      <c r="M8" s="41">
        <v>0.1825</v>
      </c>
      <c r="N8" s="42">
        <v>0.25679999999999997</v>
      </c>
      <c r="O8" s="63"/>
      <c r="P8" s="63"/>
    </row>
    <row r="9" spans="1:42" ht="20.25" customHeight="1" x14ac:dyDescent="0.2">
      <c r="A9" s="6" t="s">
        <v>25</v>
      </c>
      <c r="B9" s="54">
        <v>58.122199999999999</v>
      </c>
      <c r="C9" s="54">
        <v>58.124299999999998</v>
      </c>
      <c r="D9" s="54">
        <v>0.184</v>
      </c>
      <c r="E9" s="59">
        <v>49.545999999999999</v>
      </c>
      <c r="F9" s="60">
        <v>121.79</v>
      </c>
      <c r="G9" s="60">
        <v>2879.76</v>
      </c>
      <c r="H9" s="60">
        <v>0.72</v>
      </c>
      <c r="I9" s="41">
        <v>272.66000000000003</v>
      </c>
      <c r="J9" s="41">
        <f t="shared" si="0"/>
        <v>-0.48999999999995225</v>
      </c>
      <c r="K9" s="41">
        <v>425.18</v>
      </c>
      <c r="L9" s="41">
        <f t="shared" si="0"/>
        <v>152.03000000000003</v>
      </c>
      <c r="M9" s="41">
        <v>0.20080000000000001</v>
      </c>
      <c r="N9" s="42">
        <v>0.25440000000000002</v>
      </c>
      <c r="O9" s="63"/>
    </row>
    <row r="10" spans="1:42" ht="20.25" customHeight="1" x14ac:dyDescent="0.2">
      <c r="A10" s="6" t="s">
        <v>26</v>
      </c>
      <c r="B10" s="54">
        <v>72.148780000000002</v>
      </c>
      <c r="C10" s="54">
        <v>72.151390000000006</v>
      </c>
      <c r="D10" s="54">
        <v>0.22509999999999999</v>
      </c>
      <c r="E10" s="59">
        <v>48.95</v>
      </c>
      <c r="F10" s="60">
        <v>149.36000000000001</v>
      </c>
      <c r="G10" s="60">
        <v>3531.68</v>
      </c>
      <c r="H10" s="60">
        <v>0.23</v>
      </c>
      <c r="I10" s="41">
        <v>300.98</v>
      </c>
      <c r="J10" s="41">
        <f t="shared" si="0"/>
        <v>27.830000000000041</v>
      </c>
      <c r="K10" s="41">
        <v>460.43</v>
      </c>
      <c r="L10" s="41">
        <f t="shared" si="0"/>
        <v>187.28000000000003</v>
      </c>
      <c r="M10" s="41">
        <v>0.24</v>
      </c>
      <c r="N10" s="42">
        <v>0.30959999999999999</v>
      </c>
      <c r="O10" s="63"/>
      <c r="P10" s="63"/>
    </row>
    <row r="11" spans="1:42" ht="20.25" customHeight="1" x14ac:dyDescent="0.2">
      <c r="A11" s="6" t="s">
        <v>27</v>
      </c>
      <c r="B11" s="54">
        <v>72.148780000000002</v>
      </c>
      <c r="C11" s="54">
        <v>72.151390000000006</v>
      </c>
      <c r="D11" s="54">
        <v>0.2361</v>
      </c>
      <c r="E11" s="59">
        <v>49.045000000000002</v>
      </c>
      <c r="F11" s="60">
        <v>149.66</v>
      </c>
      <c r="G11" s="60">
        <v>3538.6</v>
      </c>
      <c r="H11" s="60">
        <v>0.23</v>
      </c>
      <c r="I11" s="41">
        <v>309.20999999999998</v>
      </c>
      <c r="J11" s="41">
        <f t="shared" si="0"/>
        <v>36.06</v>
      </c>
      <c r="K11" s="41">
        <v>469.65</v>
      </c>
      <c r="L11" s="41">
        <f t="shared" si="0"/>
        <v>196.5</v>
      </c>
      <c r="M11" s="41">
        <v>0.25219999999999998</v>
      </c>
      <c r="N11" s="42">
        <v>0.31130000000000002</v>
      </c>
      <c r="O11" s="63"/>
    </row>
    <row r="12" spans="1:42" ht="20.25" customHeight="1" x14ac:dyDescent="0.2">
      <c r="A12" s="6" t="s">
        <v>28</v>
      </c>
      <c r="B12" s="54">
        <v>86.175359999999998</v>
      </c>
      <c r="C12" s="54">
        <f>B12+(C11-C9)-(B11-B9)</f>
        <v>86.175870000000003</v>
      </c>
      <c r="D12" s="54">
        <v>0.30009999999999998</v>
      </c>
      <c r="E12" s="59">
        <v>48.715000000000003</v>
      </c>
      <c r="F12" s="60">
        <v>177.55</v>
      </c>
      <c r="G12" s="60">
        <v>4198.24</v>
      </c>
      <c r="H12" s="60">
        <v>0.32</v>
      </c>
      <c r="I12" s="41">
        <v>341.86</v>
      </c>
      <c r="J12" s="41">
        <f t="shared" si="0"/>
        <v>68.710000000000036</v>
      </c>
      <c r="K12" s="41">
        <v>507.43</v>
      </c>
      <c r="L12" s="41">
        <f t="shared" si="0"/>
        <v>234.28000000000003</v>
      </c>
      <c r="M12" s="41">
        <v>0.30070000000000002</v>
      </c>
      <c r="N12" s="42">
        <v>0.36820000000000003</v>
      </c>
      <c r="O12" s="63"/>
    </row>
    <row r="13" spans="1:42" ht="20.25" customHeight="1" x14ac:dyDescent="0.2">
      <c r="A13" s="6" t="s">
        <v>29</v>
      </c>
      <c r="B13" s="54">
        <v>28.013400000000001</v>
      </c>
      <c r="C13" s="54">
        <v>28.014299999999999</v>
      </c>
      <c r="D13" s="54">
        <v>1.7000000000000001E-2</v>
      </c>
      <c r="E13" s="59">
        <v>0</v>
      </c>
      <c r="F13" s="60">
        <v>0</v>
      </c>
      <c r="G13" s="60">
        <v>0</v>
      </c>
      <c r="H13" s="60">
        <v>0</v>
      </c>
      <c r="I13" s="41">
        <v>77.355000000000004</v>
      </c>
      <c r="J13" s="41">
        <f t="shared" si="0"/>
        <v>-195.79499999999996</v>
      </c>
      <c r="K13" s="41">
        <v>126.2</v>
      </c>
      <c r="L13" s="41">
        <f t="shared" si="0"/>
        <v>-146.94999999999999</v>
      </c>
      <c r="M13" s="41">
        <v>3.5799999999999998E-2</v>
      </c>
      <c r="N13" s="42">
        <v>9.0120000000000006E-2</v>
      </c>
      <c r="O13" s="63"/>
    </row>
    <row r="14" spans="1:42" ht="20.25" customHeight="1" thickBot="1" x14ac:dyDescent="0.25">
      <c r="A14" s="7"/>
      <c r="B14" s="43"/>
      <c r="C14" s="43"/>
      <c r="D14" s="43"/>
      <c r="E14" s="43"/>
      <c r="F14" s="49"/>
      <c r="G14" s="49"/>
      <c r="H14" s="49"/>
      <c r="I14" s="43"/>
      <c r="J14" s="43"/>
      <c r="K14" s="43"/>
      <c r="L14" s="43"/>
      <c r="M14" s="43"/>
      <c r="N14" s="21"/>
    </row>
    <row r="15" spans="1:42" ht="20.25" customHeight="1" thickTop="1" thickBot="1" x14ac:dyDescent="0.25"/>
    <row r="16" spans="1:42" ht="35.1" customHeight="1" thickTop="1" thickBot="1" x14ac:dyDescent="0.25">
      <c r="A16" s="18" t="s">
        <v>4</v>
      </c>
      <c r="B16" s="44" t="s">
        <v>35</v>
      </c>
      <c r="C16" s="44" t="s">
        <v>35</v>
      </c>
      <c r="D16" s="44" t="s">
        <v>35</v>
      </c>
      <c r="E16" s="44" t="s">
        <v>35</v>
      </c>
      <c r="F16" s="44" t="s">
        <v>35</v>
      </c>
      <c r="G16" s="44" t="s">
        <v>35</v>
      </c>
      <c r="H16" s="44" t="s">
        <v>35</v>
      </c>
      <c r="I16" s="44" t="s">
        <v>35</v>
      </c>
      <c r="J16" s="44" t="s">
        <v>35</v>
      </c>
      <c r="K16" s="44" t="s">
        <v>35</v>
      </c>
      <c r="L16" s="44" t="s">
        <v>35</v>
      </c>
      <c r="M16" s="44" t="s">
        <v>35</v>
      </c>
      <c r="N16" s="44" t="s">
        <v>35</v>
      </c>
      <c r="O16" s="44" t="s">
        <v>35</v>
      </c>
      <c r="P16" s="44" t="s">
        <v>35</v>
      </c>
      <c r="Q16" s="44" t="s">
        <v>35</v>
      </c>
      <c r="R16" s="47" t="s">
        <v>35</v>
      </c>
      <c r="S16" s="44" t="s">
        <v>35</v>
      </c>
      <c r="T16" s="44" t="s">
        <v>35</v>
      </c>
      <c r="U16" s="44" t="s">
        <v>35</v>
      </c>
      <c r="V16" s="44" t="s">
        <v>35</v>
      </c>
      <c r="W16" s="44" t="s">
        <v>35</v>
      </c>
      <c r="X16" s="44" t="s">
        <v>35</v>
      </c>
      <c r="Y16" s="44" t="s">
        <v>35</v>
      </c>
      <c r="Z16" s="44" t="s">
        <v>35</v>
      </c>
      <c r="AA16" s="44" t="s">
        <v>35</v>
      </c>
      <c r="AB16" s="44" t="s">
        <v>35</v>
      </c>
      <c r="AC16" s="44" t="s">
        <v>35</v>
      </c>
      <c r="AD16" s="44" t="s">
        <v>35</v>
      </c>
      <c r="AE16" s="44" t="s">
        <v>35</v>
      </c>
      <c r="AF16" s="44" t="s">
        <v>35</v>
      </c>
      <c r="AG16" s="44" t="s">
        <v>35</v>
      </c>
      <c r="AH16" s="44" t="s">
        <v>35</v>
      </c>
      <c r="AI16" s="44" t="s">
        <v>35</v>
      </c>
      <c r="AJ16" s="44" t="s">
        <v>35</v>
      </c>
      <c r="AK16" s="44" t="s">
        <v>35</v>
      </c>
      <c r="AL16" s="44" t="s">
        <v>35</v>
      </c>
      <c r="AM16" s="44" t="s">
        <v>35</v>
      </c>
      <c r="AN16" s="44" t="s">
        <v>35</v>
      </c>
      <c r="AO16" s="44" t="s">
        <v>35</v>
      </c>
      <c r="AP16" s="45" t="s">
        <v>35</v>
      </c>
    </row>
    <row r="17" spans="1:47" ht="20.25" customHeight="1" thickTop="1" x14ac:dyDescent="0.2">
      <c r="A17" s="15" t="s">
        <v>133</v>
      </c>
      <c r="B17" s="41">
        <f>D17-2</f>
        <v>90</v>
      </c>
      <c r="C17" s="41">
        <f>B17+1</f>
        <v>91</v>
      </c>
      <c r="D17" s="41">
        <f>F17-2</f>
        <v>92</v>
      </c>
      <c r="E17" s="41">
        <f>D17+1</f>
        <v>93</v>
      </c>
      <c r="F17" s="41">
        <f>H17-2</f>
        <v>94</v>
      </c>
      <c r="G17" s="41">
        <f>F17+1</f>
        <v>95</v>
      </c>
      <c r="H17" s="41">
        <f>J17-2</f>
        <v>96</v>
      </c>
      <c r="I17" s="41">
        <f>H17+1</f>
        <v>97</v>
      </c>
      <c r="J17" s="41">
        <f>L17-2</f>
        <v>98</v>
      </c>
      <c r="K17" s="41">
        <f>J17+1</f>
        <v>99</v>
      </c>
      <c r="L17" s="41">
        <f>N17-2</f>
        <v>100</v>
      </c>
      <c r="M17" s="41">
        <f>L17+1</f>
        <v>101</v>
      </c>
      <c r="N17" s="41">
        <f>P17-2</f>
        <v>102</v>
      </c>
      <c r="O17" s="41">
        <f>N17+1</f>
        <v>103</v>
      </c>
      <c r="P17" s="41">
        <f>R17-2</f>
        <v>104</v>
      </c>
      <c r="Q17" s="41">
        <f>P17+1</f>
        <v>105</v>
      </c>
      <c r="R17" s="48">
        <v>106</v>
      </c>
      <c r="S17" s="41">
        <f>R17+1</f>
        <v>107</v>
      </c>
      <c r="T17" s="41">
        <f>+R17+2</f>
        <v>108</v>
      </c>
      <c r="U17" s="41">
        <f>T17+1</f>
        <v>109</v>
      </c>
      <c r="V17" s="41">
        <f>+T17+2</f>
        <v>110</v>
      </c>
      <c r="W17" s="41">
        <f>V17+1</f>
        <v>111</v>
      </c>
      <c r="X17" s="41">
        <f>+V17+2</f>
        <v>112</v>
      </c>
      <c r="Y17" s="41">
        <f>X17+1</f>
        <v>113</v>
      </c>
      <c r="Z17" s="41">
        <f>+X17+2</f>
        <v>114</v>
      </c>
      <c r="AA17" s="41">
        <f>Z17+1</f>
        <v>115</v>
      </c>
      <c r="AB17" s="41">
        <f>+Z17+2</f>
        <v>116</v>
      </c>
      <c r="AC17" s="41">
        <f>AB17+1</f>
        <v>117</v>
      </c>
      <c r="AD17" s="41">
        <f>+AB17+2</f>
        <v>118</v>
      </c>
      <c r="AE17" s="41">
        <f>AD17+1</f>
        <v>119</v>
      </c>
      <c r="AF17" s="41">
        <f>+AD17+2</f>
        <v>120</v>
      </c>
      <c r="AG17" s="41">
        <f>AF17+1</f>
        <v>121</v>
      </c>
      <c r="AH17" s="41">
        <f>+AF17+2</f>
        <v>122</v>
      </c>
      <c r="AI17" s="41">
        <f>AH17+1</f>
        <v>123</v>
      </c>
      <c r="AJ17" s="41">
        <f>+AH17+2</f>
        <v>124</v>
      </c>
      <c r="AK17" s="41">
        <f>AJ17+1</f>
        <v>125</v>
      </c>
      <c r="AL17" s="41">
        <f>+AJ17+2</f>
        <v>126</v>
      </c>
      <c r="AM17" s="41">
        <f>AL17+1</f>
        <v>127</v>
      </c>
      <c r="AN17" s="41">
        <f>+AL17+2</f>
        <v>128</v>
      </c>
      <c r="AO17" s="41">
        <f>AN17+1</f>
        <v>129</v>
      </c>
      <c r="AP17" s="42">
        <f>+AN17+2</f>
        <v>130</v>
      </c>
    </row>
    <row r="18" spans="1:47" ht="20.25" customHeight="1" x14ac:dyDescent="0.2">
      <c r="A18" s="15" t="s">
        <v>20</v>
      </c>
      <c r="B18" s="48">
        <f t="shared" ref="B18:AP18" si="1">B17-273.15</f>
        <v>-183.14999999999998</v>
      </c>
      <c r="C18" s="48">
        <f t="shared" si="1"/>
        <v>-182.14999999999998</v>
      </c>
      <c r="D18" s="48">
        <f t="shared" si="1"/>
        <v>-181.14999999999998</v>
      </c>
      <c r="E18" s="48">
        <f t="shared" si="1"/>
        <v>-180.14999999999998</v>
      </c>
      <c r="F18" s="48">
        <f t="shared" si="1"/>
        <v>-179.14999999999998</v>
      </c>
      <c r="G18" s="48">
        <f t="shared" si="1"/>
        <v>-178.14999999999998</v>
      </c>
      <c r="H18" s="48">
        <f t="shared" si="1"/>
        <v>-177.14999999999998</v>
      </c>
      <c r="I18" s="48">
        <f t="shared" si="1"/>
        <v>-176.14999999999998</v>
      </c>
      <c r="J18" s="48">
        <f t="shared" si="1"/>
        <v>-175.14999999999998</v>
      </c>
      <c r="K18" s="48">
        <f t="shared" si="1"/>
        <v>-174.14999999999998</v>
      </c>
      <c r="L18" s="48">
        <f t="shared" si="1"/>
        <v>-173.14999999999998</v>
      </c>
      <c r="M18" s="48">
        <f t="shared" si="1"/>
        <v>-172.14999999999998</v>
      </c>
      <c r="N18" s="48">
        <f t="shared" si="1"/>
        <v>-171.14999999999998</v>
      </c>
      <c r="O18" s="48">
        <f t="shared" si="1"/>
        <v>-170.14999999999998</v>
      </c>
      <c r="P18" s="48">
        <f t="shared" si="1"/>
        <v>-169.14999999999998</v>
      </c>
      <c r="Q18" s="48">
        <f t="shared" si="1"/>
        <v>-168.14999999999998</v>
      </c>
      <c r="R18" s="48">
        <f t="shared" si="1"/>
        <v>-167.14999999999998</v>
      </c>
      <c r="S18" s="48">
        <f t="shared" si="1"/>
        <v>-166.14999999999998</v>
      </c>
      <c r="T18" s="48">
        <f t="shared" si="1"/>
        <v>-165.14999999999998</v>
      </c>
      <c r="U18" s="48">
        <f t="shared" si="1"/>
        <v>-164.14999999999998</v>
      </c>
      <c r="V18" s="48">
        <f t="shared" si="1"/>
        <v>-163.14999999999998</v>
      </c>
      <c r="W18" s="48">
        <f t="shared" si="1"/>
        <v>-162.14999999999998</v>
      </c>
      <c r="X18" s="48">
        <f t="shared" si="1"/>
        <v>-161.14999999999998</v>
      </c>
      <c r="Y18" s="48">
        <f t="shared" si="1"/>
        <v>-160.14999999999998</v>
      </c>
      <c r="Z18" s="48">
        <f t="shared" si="1"/>
        <v>-159.14999999999998</v>
      </c>
      <c r="AA18" s="48">
        <f t="shared" si="1"/>
        <v>-158.14999999999998</v>
      </c>
      <c r="AB18" s="48">
        <f t="shared" si="1"/>
        <v>-157.14999999999998</v>
      </c>
      <c r="AC18" s="48">
        <f t="shared" si="1"/>
        <v>-156.14999999999998</v>
      </c>
      <c r="AD18" s="48">
        <f t="shared" si="1"/>
        <v>-155.14999999999998</v>
      </c>
      <c r="AE18" s="48">
        <f t="shared" si="1"/>
        <v>-154.14999999999998</v>
      </c>
      <c r="AF18" s="48">
        <f t="shared" si="1"/>
        <v>-153.14999999999998</v>
      </c>
      <c r="AG18" s="48">
        <f t="shared" si="1"/>
        <v>-152.14999999999998</v>
      </c>
      <c r="AH18" s="48">
        <f t="shared" si="1"/>
        <v>-151.14999999999998</v>
      </c>
      <c r="AI18" s="48">
        <f t="shared" si="1"/>
        <v>-150.14999999999998</v>
      </c>
      <c r="AJ18" s="48">
        <f t="shared" si="1"/>
        <v>-149.14999999999998</v>
      </c>
      <c r="AK18" s="48">
        <f t="shared" si="1"/>
        <v>-148.14999999999998</v>
      </c>
      <c r="AL18" s="48">
        <f t="shared" si="1"/>
        <v>-147.14999999999998</v>
      </c>
      <c r="AM18" s="48">
        <f t="shared" si="1"/>
        <v>-146.14999999999998</v>
      </c>
      <c r="AN18" s="48">
        <f t="shared" si="1"/>
        <v>-145.14999999999998</v>
      </c>
      <c r="AO18" s="48">
        <f t="shared" si="1"/>
        <v>-144.14999999999998</v>
      </c>
      <c r="AP18" s="42">
        <f t="shared" si="1"/>
        <v>-143.14999999999998</v>
      </c>
    </row>
    <row r="19" spans="1:47" ht="20.25" customHeight="1" x14ac:dyDescent="0.2">
      <c r="A19" s="6" t="s">
        <v>21</v>
      </c>
      <c r="B19" s="41">
        <v>3.5441E-2</v>
      </c>
      <c r="C19" s="41">
        <f>B19+(D19-B19)/2</f>
        <v>3.5545E-2</v>
      </c>
      <c r="D19" s="41">
        <v>3.5649E-2</v>
      </c>
      <c r="E19" s="41">
        <f>D19+(F19-D19)/2</f>
        <v>3.5754999999999995E-2</v>
      </c>
      <c r="F19" s="41">
        <v>3.5860999999999997E-2</v>
      </c>
      <c r="G19" s="41">
        <f>F19+(H19-F19)/2</f>
        <v>3.5969000000000001E-2</v>
      </c>
      <c r="H19" s="41">
        <v>3.6076999999999998E-2</v>
      </c>
      <c r="I19" s="41">
        <f>H19+(J19-H19)/2</f>
        <v>3.6187499999999997E-2</v>
      </c>
      <c r="J19" s="41">
        <v>3.6297999999999997E-2</v>
      </c>
      <c r="K19" s="41">
        <f>J19+(L19-J19)/2</f>
        <v>3.6410999999999999E-2</v>
      </c>
      <c r="L19" s="41">
        <v>3.6524000000000001E-2</v>
      </c>
      <c r="M19" s="41">
        <f>L19+(N19-L19)/2</f>
        <v>3.6639500000000005E-2</v>
      </c>
      <c r="N19" s="41">
        <v>3.6755000000000003E-2</v>
      </c>
      <c r="O19" s="41">
        <f>N19+(P19-N19)/2</f>
        <v>3.6873500000000003E-2</v>
      </c>
      <c r="P19" s="41">
        <v>3.6991999999999997E-2</v>
      </c>
      <c r="Q19" s="41">
        <f>P19+(R19-P19)/2</f>
        <v>3.7113E-2</v>
      </c>
      <c r="R19" s="48">
        <v>3.7234000000000003E-2</v>
      </c>
      <c r="S19" s="41">
        <f>R19+(T19-R19)/2</f>
        <v>3.7357500000000002E-2</v>
      </c>
      <c r="T19" s="41">
        <v>3.7481E-2</v>
      </c>
      <c r="U19" s="41">
        <f>T19+(V19-T19)/2</f>
        <v>3.7608000000000003E-2</v>
      </c>
      <c r="V19" s="41">
        <v>3.7734999999999998E-2</v>
      </c>
      <c r="W19" s="41">
        <f>V19+(X19-V19)/2</f>
        <v>3.7864999999999996E-2</v>
      </c>
      <c r="X19" s="41">
        <v>3.7995000000000001E-2</v>
      </c>
      <c r="Y19" s="41">
        <f>X19+(Z19-X19)/2</f>
        <v>3.8128499999999996E-2</v>
      </c>
      <c r="Z19" s="41">
        <v>3.8261999999999997E-2</v>
      </c>
      <c r="AA19" s="41">
        <f>Z19+(AB19-Z19)/2</f>
        <v>3.8399000000000003E-2</v>
      </c>
      <c r="AB19" s="41">
        <v>3.8536000000000001E-2</v>
      </c>
      <c r="AC19" s="41">
        <f>AB19+(AD19-AB19)/2</f>
        <v>3.8676500000000003E-2</v>
      </c>
      <c r="AD19" s="41">
        <v>3.8816999999999997E-2</v>
      </c>
      <c r="AE19" s="41">
        <f>AD19+(AF19-AD19)/2</f>
        <v>3.8961499999999996E-2</v>
      </c>
      <c r="AF19" s="41">
        <v>3.9106000000000002E-2</v>
      </c>
      <c r="AG19" s="41">
        <f>AF19+(AH19-AF19)/2</f>
        <v>3.9254999999999998E-2</v>
      </c>
      <c r="AH19" s="41">
        <v>3.9404000000000002E-2</v>
      </c>
      <c r="AI19" s="41">
        <f>AH19+(AJ19-AH19)/2</f>
        <v>3.9557000000000002E-2</v>
      </c>
      <c r="AJ19" s="41">
        <v>3.9710000000000002E-2</v>
      </c>
      <c r="AK19" s="41">
        <f>AJ19+(AL19-AJ19)/2</f>
        <v>3.98675E-2</v>
      </c>
      <c r="AL19" s="41">
        <v>4.0024999999999998E-2</v>
      </c>
      <c r="AM19" s="41">
        <f>AL19+(AN19-AL19)/2</f>
        <v>4.0187500000000001E-2</v>
      </c>
      <c r="AN19" s="41">
        <v>4.0349999999999997E-2</v>
      </c>
      <c r="AO19" s="41">
        <f>AN19+(AP19-AN19)/2</f>
        <v>4.0517499999999998E-2</v>
      </c>
      <c r="AP19" s="42">
        <v>4.0684999999999999E-2</v>
      </c>
    </row>
    <row r="20" spans="1:47" ht="20.25" customHeight="1" x14ac:dyDescent="0.2">
      <c r="A20" s="6" t="s">
        <v>22</v>
      </c>
      <c r="B20" s="41">
        <v>4.6080999999999997E-2</v>
      </c>
      <c r="C20" s="41">
        <f t="shared" ref="C20:E27" si="2">B20+(D20-B20)/2</f>
        <v>4.6157999999999998E-2</v>
      </c>
      <c r="D20" s="41">
        <v>4.6234999999999998E-2</v>
      </c>
      <c r="E20" s="41">
        <f t="shared" si="2"/>
        <v>4.63125E-2</v>
      </c>
      <c r="F20" s="41">
        <v>4.6390000000000001E-2</v>
      </c>
      <c r="G20" s="41">
        <f t="shared" ref="G20" si="3">F20+(H20-F20)/2</f>
        <v>4.6468499999999996E-2</v>
      </c>
      <c r="H20" s="41">
        <v>4.6546999999999998E-2</v>
      </c>
      <c r="I20" s="41">
        <f t="shared" ref="I20" si="4">H20+(J20-H20)/2</f>
        <v>4.66255E-2</v>
      </c>
      <c r="J20" s="41">
        <v>4.6704000000000002E-2</v>
      </c>
      <c r="K20" s="41">
        <f t="shared" ref="K20" si="5">J20+(L20-J20)/2</f>
        <v>4.6783500000000006E-2</v>
      </c>
      <c r="L20" s="41">
        <v>4.6863000000000002E-2</v>
      </c>
      <c r="M20" s="41">
        <f t="shared" ref="M20" si="6">L20+(N20-L20)/2</f>
        <v>4.6942999999999999E-2</v>
      </c>
      <c r="N20" s="41">
        <v>4.7023000000000002E-2</v>
      </c>
      <c r="O20" s="41">
        <f t="shared" ref="O20" si="7">N20+(P20-N20)/2</f>
        <v>4.7104E-2</v>
      </c>
      <c r="P20" s="41">
        <v>4.7184999999999998E-2</v>
      </c>
      <c r="Q20" s="41">
        <f t="shared" ref="Q20" si="8">P20+(R20-P20)/2</f>
        <v>4.7266500000000003E-2</v>
      </c>
      <c r="R20" s="48">
        <v>4.7348000000000001E-2</v>
      </c>
      <c r="S20" s="41">
        <f t="shared" ref="S20" si="9">R20+(T20-R20)/2</f>
        <v>4.743E-2</v>
      </c>
      <c r="T20" s="41">
        <v>4.7511999999999999E-2</v>
      </c>
      <c r="U20" s="41">
        <f t="shared" ref="U20" si="10">T20+(V20-T20)/2</f>
        <v>4.7594999999999998E-2</v>
      </c>
      <c r="V20" s="41">
        <v>4.7677999999999998E-2</v>
      </c>
      <c r="W20" s="41">
        <f t="shared" ref="W20" si="11">V20+(X20-V20)/2</f>
        <v>4.7761499999999998E-2</v>
      </c>
      <c r="X20" s="41">
        <v>4.7844999999999999E-2</v>
      </c>
      <c r="Y20" s="41">
        <f t="shared" ref="Y20" si="12">X20+(Z20-X20)/2</f>
        <v>4.79295E-2</v>
      </c>
      <c r="Z20" s="41">
        <v>4.8014000000000001E-2</v>
      </c>
      <c r="AA20" s="41">
        <f t="shared" ref="AA20" si="13">Z20+(AB20-Z20)/2</f>
        <v>4.8099000000000003E-2</v>
      </c>
      <c r="AB20" s="41">
        <v>4.8183999999999998E-2</v>
      </c>
      <c r="AC20" s="41">
        <f t="shared" ref="AC20" si="14">AB20+(AD20-AB20)/2</f>
        <v>4.827E-2</v>
      </c>
      <c r="AD20" s="41">
        <v>4.8356000000000003E-2</v>
      </c>
      <c r="AE20" s="41">
        <f t="shared" ref="AE20" si="15">AD20+(AF20-AD20)/2</f>
        <v>4.8442499999999999E-2</v>
      </c>
      <c r="AF20" s="41">
        <v>4.8529000000000003E-2</v>
      </c>
      <c r="AG20" s="41">
        <f t="shared" ref="AG20" si="16">AF20+(AH20-AF20)/2</f>
        <v>4.86165E-2</v>
      </c>
      <c r="AH20" s="41">
        <v>4.8703999999999997E-2</v>
      </c>
      <c r="AI20" s="41">
        <f t="shared" ref="AI20" si="17">AH20+(AJ20-AH20)/2</f>
        <v>4.8792500000000003E-2</v>
      </c>
      <c r="AJ20" s="41">
        <v>4.8881000000000001E-2</v>
      </c>
      <c r="AK20" s="41">
        <f t="shared" ref="AK20" si="18">AJ20+(AL20-AJ20)/2</f>
        <v>4.897E-2</v>
      </c>
      <c r="AL20" s="41">
        <v>4.9058999999999998E-2</v>
      </c>
      <c r="AM20" s="41">
        <f t="shared" ref="AM20" si="19">AL20+(AN20-AL20)/2</f>
        <v>4.9148999999999998E-2</v>
      </c>
      <c r="AN20" s="41">
        <v>4.9238999999999998E-2</v>
      </c>
      <c r="AO20" s="41">
        <f t="shared" ref="AO20" si="20">AN20+(AP20-AN20)/2</f>
        <v>4.9329999999999999E-2</v>
      </c>
      <c r="AP20" s="42">
        <v>4.9421E-2</v>
      </c>
    </row>
    <row r="21" spans="1:47" ht="20.25" customHeight="1" x14ac:dyDescent="0.2">
      <c r="A21" s="6" t="s">
        <v>23</v>
      </c>
      <c r="B21" s="41">
        <v>6.0461000000000001E-2</v>
      </c>
      <c r="C21" s="41">
        <f t="shared" si="2"/>
        <v>6.0546500000000003E-2</v>
      </c>
      <c r="D21" s="41">
        <v>6.0631999999999998E-2</v>
      </c>
      <c r="E21" s="41">
        <f t="shared" si="2"/>
        <v>6.0717999999999994E-2</v>
      </c>
      <c r="F21" s="41">
        <v>6.0803999999999997E-2</v>
      </c>
      <c r="G21" s="41">
        <f t="shared" ref="G21" si="21">F21+(H21-F21)/2</f>
        <v>6.08905E-2</v>
      </c>
      <c r="H21" s="41">
        <v>6.0977000000000003E-2</v>
      </c>
      <c r="I21" s="41">
        <f t="shared" ref="I21" si="22">H21+(J21-H21)/2</f>
        <v>6.1064E-2</v>
      </c>
      <c r="J21" s="41">
        <v>6.1150999999999997E-2</v>
      </c>
      <c r="K21" s="41">
        <f t="shared" ref="K21" si="23">J21+(L21-J21)/2</f>
        <v>6.1238000000000001E-2</v>
      </c>
      <c r="L21" s="41">
        <v>6.1324999999999998E-2</v>
      </c>
      <c r="M21" s="41">
        <f t="shared" ref="M21" si="24">L21+(N21-L21)/2</f>
        <v>6.1412999999999995E-2</v>
      </c>
      <c r="N21" s="41">
        <v>6.1501E-2</v>
      </c>
      <c r="O21" s="41">
        <f t="shared" ref="O21" si="25">N21+(P21-N21)/2</f>
        <v>6.1589000000000005E-2</v>
      </c>
      <c r="P21" s="41">
        <v>6.1677000000000003E-2</v>
      </c>
      <c r="Q21" s="41">
        <f t="shared" ref="Q21" si="26">P21+(R21-P21)/2</f>
        <v>6.1766000000000001E-2</v>
      </c>
      <c r="R21" s="48">
        <v>6.1855E-2</v>
      </c>
      <c r="S21" s="41">
        <f t="shared" ref="S21" si="27">R21+(T21-R21)/2</f>
        <v>6.1943999999999999E-2</v>
      </c>
      <c r="T21" s="41">
        <v>6.2032999999999998E-2</v>
      </c>
      <c r="U21" s="41">
        <f t="shared" ref="U21" si="28">T21+(V21-T21)/2</f>
        <v>6.2122499999999997E-2</v>
      </c>
      <c r="V21" s="41">
        <v>6.2212000000000003E-2</v>
      </c>
      <c r="W21" s="41">
        <f t="shared" ref="W21" si="29">V21+(X21-V21)/2</f>
        <v>6.2302000000000003E-2</v>
      </c>
      <c r="X21" s="41">
        <v>6.2392000000000003E-2</v>
      </c>
      <c r="Y21" s="41">
        <f t="shared" ref="Y21" si="30">X21+(Z21-X21)/2</f>
        <v>6.2483000000000004E-2</v>
      </c>
      <c r="Z21" s="41">
        <v>6.2574000000000005E-2</v>
      </c>
      <c r="AA21" s="41">
        <f t="shared" ref="AA21" si="31">Z21+(AB21-Z21)/2</f>
        <v>6.2664999999999998E-2</v>
      </c>
      <c r="AB21" s="41">
        <v>6.2756000000000006E-2</v>
      </c>
      <c r="AC21" s="41">
        <f t="shared" ref="AC21" si="32">AB21+(AD21-AB21)/2</f>
        <v>6.2847500000000001E-2</v>
      </c>
      <c r="AD21" s="41">
        <v>6.2938999999999995E-2</v>
      </c>
      <c r="AE21" s="41">
        <f t="shared" ref="AE21" si="33">AD21+(AF21-AD21)/2</f>
        <v>6.303149999999999E-2</v>
      </c>
      <c r="AF21" s="41">
        <v>6.3124E-2</v>
      </c>
      <c r="AG21" s="41">
        <f t="shared" ref="AG21" si="34">AF21+(AH21-AF21)/2</f>
        <v>6.3216500000000009E-2</v>
      </c>
      <c r="AH21" s="41">
        <v>6.3309000000000004E-2</v>
      </c>
      <c r="AI21" s="41">
        <f t="shared" ref="AI21" si="35">AH21+(AJ21-AH21)/2</f>
        <v>6.3402500000000001E-2</v>
      </c>
      <c r="AJ21" s="41">
        <v>6.3495999999999997E-2</v>
      </c>
      <c r="AK21" s="41">
        <f t="shared" ref="AK21" si="36">AJ21+(AL21-AJ21)/2</f>
        <v>6.3590000000000008E-2</v>
      </c>
      <c r="AL21" s="41">
        <v>6.3684000000000004E-2</v>
      </c>
      <c r="AM21" s="41">
        <f t="shared" ref="AM21" si="37">AL21+(AN21-AL21)/2</f>
        <v>6.3778500000000002E-2</v>
      </c>
      <c r="AN21" s="41">
        <v>6.3872999999999999E-2</v>
      </c>
      <c r="AO21" s="41">
        <f t="shared" ref="AO21" si="38">AN21+(AP21-AN21)/2</f>
        <v>6.3967999999999997E-2</v>
      </c>
      <c r="AP21" s="42">
        <v>6.4062999999999995E-2</v>
      </c>
    </row>
    <row r="22" spans="1:47" ht="20.25" customHeight="1" x14ac:dyDescent="0.2">
      <c r="A22" s="6" t="s">
        <v>24</v>
      </c>
      <c r="B22" s="41">
        <v>7.6083999999999999E-2</v>
      </c>
      <c r="C22" s="41">
        <f t="shared" si="2"/>
        <v>7.6178999999999997E-2</v>
      </c>
      <c r="D22" s="41">
        <v>7.6273999999999995E-2</v>
      </c>
      <c r="E22" s="41">
        <f t="shared" si="2"/>
        <v>7.6369999999999993E-2</v>
      </c>
      <c r="F22" s="41">
        <v>7.6466000000000006E-2</v>
      </c>
      <c r="G22" s="41">
        <f t="shared" ref="G22" si="39">F22+(H22-F22)/2</f>
        <v>7.6562500000000006E-2</v>
      </c>
      <c r="H22" s="41">
        <v>7.6659000000000005E-2</v>
      </c>
      <c r="I22" s="41">
        <f t="shared" ref="I22" si="40">H22+(J22-H22)/2</f>
        <v>7.6756000000000005E-2</v>
      </c>
      <c r="J22" s="41">
        <v>7.6853000000000005E-2</v>
      </c>
      <c r="K22" s="41">
        <f t="shared" ref="K22" si="41">J22+(L22-J22)/2</f>
        <v>7.6950000000000005E-2</v>
      </c>
      <c r="L22" s="41">
        <v>7.7047000000000004E-2</v>
      </c>
      <c r="M22" s="41">
        <f t="shared" ref="M22" si="42">L22+(N22-L22)/2</f>
        <v>7.7145000000000005E-2</v>
      </c>
      <c r="N22" s="41">
        <v>7.7243000000000006E-2</v>
      </c>
      <c r="O22" s="41">
        <f t="shared" ref="O22" si="43">N22+(P22-N22)/2</f>
        <v>7.7341500000000007E-2</v>
      </c>
      <c r="P22" s="41">
        <v>7.7439999999999995E-2</v>
      </c>
      <c r="Q22" s="41">
        <f t="shared" ref="Q22" si="44">P22+(R22-P22)/2</f>
        <v>7.7538499999999996E-2</v>
      </c>
      <c r="R22" s="48">
        <v>7.7636999999999998E-2</v>
      </c>
      <c r="S22" s="41">
        <f t="shared" ref="S22" si="45">R22+(T22-R22)/2</f>
        <v>7.77365E-2</v>
      </c>
      <c r="T22" s="41">
        <v>7.7836000000000002E-2</v>
      </c>
      <c r="U22" s="41">
        <f t="shared" ref="U22" si="46">T22+(V22-T22)/2</f>
        <v>7.7935499999999991E-2</v>
      </c>
      <c r="V22" s="41">
        <v>7.8034999999999993E-2</v>
      </c>
      <c r="W22" s="41">
        <f t="shared" ref="W22" si="47">V22+(X22-V22)/2</f>
        <v>7.8135499999999997E-2</v>
      </c>
      <c r="X22" s="41">
        <v>7.8236E-2</v>
      </c>
      <c r="Y22" s="41">
        <f t="shared" ref="Y22" si="48">X22+(Z22-X22)/2</f>
        <v>7.833699999999999E-2</v>
      </c>
      <c r="Z22" s="41">
        <v>7.8437999999999994E-2</v>
      </c>
      <c r="AA22" s="41">
        <f t="shared" ref="AA22" si="49">Z22+(AB22-Z22)/2</f>
        <v>7.8538999999999998E-2</v>
      </c>
      <c r="AB22" s="41">
        <v>7.8640000000000002E-2</v>
      </c>
      <c r="AC22" s="41">
        <f t="shared" ref="AC22" si="50">AB22+(AD22-AB22)/2</f>
        <v>7.8742000000000006E-2</v>
      </c>
      <c r="AD22" s="41">
        <v>7.8843999999999997E-2</v>
      </c>
      <c r="AE22" s="41">
        <f t="shared" ref="AE22" si="51">AD22+(AF22-AD22)/2</f>
        <v>7.8946500000000003E-2</v>
      </c>
      <c r="AF22" s="41">
        <v>7.9048999999999994E-2</v>
      </c>
      <c r="AG22" s="41">
        <f t="shared" ref="AG22" si="52">AF22+(AH22-AF22)/2</f>
        <v>7.9152E-2</v>
      </c>
      <c r="AH22" s="41">
        <v>7.9255000000000006E-2</v>
      </c>
      <c r="AI22" s="41">
        <f t="shared" ref="AI22" si="53">AH22+(AJ22-AH22)/2</f>
        <v>7.9358499999999998E-2</v>
      </c>
      <c r="AJ22" s="41">
        <v>7.9462000000000005E-2</v>
      </c>
      <c r="AK22" s="41">
        <f t="shared" ref="AK22" si="54">AJ22+(AL22-AJ22)/2</f>
        <v>7.9566500000000012E-2</v>
      </c>
      <c r="AL22" s="41">
        <v>7.9671000000000006E-2</v>
      </c>
      <c r="AM22" s="41">
        <f t="shared" ref="AM22" si="55">AL22+(AN22-AL22)/2</f>
        <v>7.9775499999999999E-2</v>
      </c>
      <c r="AN22" s="41">
        <v>7.9880000000000007E-2</v>
      </c>
      <c r="AO22" s="41">
        <f t="shared" ref="AO22" si="56">AN22+(AP22-AN22)/2</f>
        <v>7.9985500000000001E-2</v>
      </c>
      <c r="AP22" s="42">
        <v>8.0090999999999996E-2</v>
      </c>
    </row>
    <row r="23" spans="1:47" ht="20.25" customHeight="1" x14ac:dyDescent="0.2">
      <c r="A23" s="6" t="s">
        <v>25</v>
      </c>
      <c r="B23" s="41">
        <v>7.4707999999999997E-2</v>
      </c>
      <c r="C23" s="41">
        <f t="shared" si="2"/>
        <v>7.4799499999999991E-2</v>
      </c>
      <c r="D23" s="41">
        <v>7.4890999999999999E-2</v>
      </c>
      <c r="E23" s="41">
        <f t="shared" si="2"/>
        <v>7.4982999999999994E-2</v>
      </c>
      <c r="F23" s="41">
        <v>7.5075000000000003E-2</v>
      </c>
      <c r="G23" s="41">
        <f t="shared" ref="G23" si="57">F23+(H23-F23)/2</f>
        <v>7.5167000000000012E-2</v>
      </c>
      <c r="H23" s="41">
        <v>7.5259000000000006E-2</v>
      </c>
      <c r="I23" s="41">
        <f t="shared" ref="I23" si="58">H23+(J23-H23)/2</f>
        <v>7.5352000000000002E-2</v>
      </c>
      <c r="J23" s="41">
        <v>7.5444999999999998E-2</v>
      </c>
      <c r="K23" s="41">
        <f t="shared" ref="K23" si="59">J23+(L23-J23)/2</f>
        <v>7.5537999999999994E-2</v>
      </c>
      <c r="L23" s="41">
        <v>7.5631000000000004E-2</v>
      </c>
      <c r="M23" s="41">
        <f t="shared" ref="M23" si="60">L23+(N23-L23)/2</f>
        <v>7.57245E-2</v>
      </c>
      <c r="N23" s="41">
        <v>7.5817999999999997E-2</v>
      </c>
      <c r="O23" s="41">
        <f t="shared" ref="O23" si="61">N23+(P23-N23)/2</f>
        <v>7.5912000000000007E-2</v>
      </c>
      <c r="P23" s="41">
        <v>7.6006000000000004E-2</v>
      </c>
      <c r="Q23" s="41">
        <f t="shared" ref="Q23" si="62">P23+(R23-P23)/2</f>
        <v>7.6100000000000001E-2</v>
      </c>
      <c r="R23" s="48">
        <v>7.6193999999999998E-2</v>
      </c>
      <c r="S23" s="41">
        <f t="shared" ref="S23" si="63">R23+(T23-R23)/2</f>
        <v>7.6288999999999996E-2</v>
      </c>
      <c r="T23" s="41">
        <v>7.6383999999999994E-2</v>
      </c>
      <c r="U23" s="41">
        <f t="shared" ref="U23" si="64">T23+(V23-T23)/2</f>
        <v>7.6478999999999991E-2</v>
      </c>
      <c r="V23" s="41">
        <v>7.6574000000000003E-2</v>
      </c>
      <c r="W23" s="41">
        <f t="shared" ref="W23" si="65">V23+(X23-V23)/2</f>
        <v>7.6669500000000002E-2</v>
      </c>
      <c r="X23" s="41">
        <v>7.6765E-2</v>
      </c>
      <c r="Y23" s="41">
        <f t="shared" ref="Y23" si="66">X23+(Z23-X23)/2</f>
        <v>7.6860999999999999E-2</v>
      </c>
      <c r="Z23" s="41">
        <v>7.6956999999999998E-2</v>
      </c>
      <c r="AA23" s="41">
        <f t="shared" ref="AA23" si="67">Z23+(AB23-Z23)/2</f>
        <v>7.7053499999999997E-2</v>
      </c>
      <c r="AB23" s="41">
        <v>7.7149999999999996E-2</v>
      </c>
      <c r="AC23" s="41">
        <f t="shared" ref="AC23" si="68">AB23+(AD23-AB23)/2</f>
        <v>7.7246999999999996E-2</v>
      </c>
      <c r="AD23" s="41">
        <v>7.7343999999999996E-2</v>
      </c>
      <c r="AE23" s="41">
        <f t="shared" ref="AE23" si="69">AD23+(AF23-AD23)/2</f>
        <v>7.7441499999999996E-2</v>
      </c>
      <c r="AF23" s="41">
        <v>7.7538999999999997E-2</v>
      </c>
      <c r="AG23" s="41">
        <f t="shared" ref="AG23" si="70">AF23+(AH23-AF23)/2</f>
        <v>7.7636499999999997E-2</v>
      </c>
      <c r="AH23" s="41">
        <v>7.7733999999999998E-2</v>
      </c>
      <c r="AI23" s="41">
        <f t="shared" ref="AI23" si="71">AH23+(AJ23-AH23)/2</f>
        <v>7.7832499999999999E-2</v>
      </c>
      <c r="AJ23" s="41">
        <v>7.7931E-2</v>
      </c>
      <c r="AK23" s="41">
        <f t="shared" ref="AK23" si="72">AJ23+(AL23-AJ23)/2</f>
        <v>7.8029500000000002E-2</v>
      </c>
      <c r="AL23" s="41">
        <v>7.8128000000000003E-2</v>
      </c>
      <c r="AM23" s="41">
        <f t="shared" ref="AM23" si="73">AL23+(AN23-AL23)/2</f>
        <v>7.8227500000000005E-2</v>
      </c>
      <c r="AN23" s="41">
        <v>7.8326999999999994E-2</v>
      </c>
      <c r="AO23" s="41">
        <f t="shared" ref="AO23" si="74">AN23+(AP23-AN23)/2</f>
        <v>7.8426499999999996E-2</v>
      </c>
      <c r="AP23" s="42">
        <v>7.8525999999999999E-2</v>
      </c>
    </row>
    <row r="24" spans="1:47" ht="20.25" customHeight="1" x14ac:dyDescent="0.2">
      <c r="A24" s="6" t="s">
        <v>26</v>
      </c>
      <c r="B24" s="41">
        <v>8.9243000000000003E-2</v>
      </c>
      <c r="C24" s="41">
        <f t="shared" si="2"/>
        <v>8.9348499999999997E-2</v>
      </c>
      <c r="D24" s="41">
        <v>8.9454000000000006E-2</v>
      </c>
      <c r="E24" s="41">
        <f t="shared" si="2"/>
        <v>8.9560000000000001E-2</v>
      </c>
      <c r="F24" s="41">
        <v>8.9665999999999996E-2</v>
      </c>
      <c r="G24" s="41">
        <f t="shared" ref="G24" si="75">F24+(H24-F24)/2</f>
        <v>8.9771999999999991E-2</v>
      </c>
      <c r="H24" s="41">
        <v>8.9878E-2</v>
      </c>
      <c r="I24" s="41">
        <f t="shared" ref="I24" si="76">H24+(J24-H24)/2</f>
        <v>8.9984499999999995E-2</v>
      </c>
      <c r="J24" s="41">
        <v>9.0091000000000004E-2</v>
      </c>
      <c r="K24" s="41">
        <f t="shared" ref="K24" si="77">J24+(L24-J24)/2</f>
        <v>9.01975E-2</v>
      </c>
      <c r="L24" s="41">
        <v>9.0303999999999995E-2</v>
      </c>
      <c r="M24" s="41">
        <f t="shared" ref="M24" si="78">L24+(N24-L24)/2</f>
        <v>9.0410999999999991E-2</v>
      </c>
      <c r="N24" s="41">
        <v>9.0518000000000001E-2</v>
      </c>
      <c r="O24" s="41">
        <f t="shared" ref="O24" si="79">N24+(P24-N24)/2</f>
        <v>9.0625499999999998E-2</v>
      </c>
      <c r="P24" s="41">
        <v>9.0732999999999994E-2</v>
      </c>
      <c r="Q24" s="41">
        <f t="shared" ref="Q24" si="80">P24+(R24-P24)/2</f>
        <v>9.0840499999999991E-2</v>
      </c>
      <c r="R24" s="48">
        <v>9.0948000000000001E-2</v>
      </c>
      <c r="S24" s="41">
        <f t="shared" ref="S24" si="81">R24+(T24-R24)/2</f>
        <v>9.1055499999999998E-2</v>
      </c>
      <c r="T24" s="41">
        <v>9.1162999999999994E-2</v>
      </c>
      <c r="U24" s="41">
        <f t="shared" ref="U24" si="82">T24+(V24-T24)/2</f>
        <v>9.1270999999999991E-2</v>
      </c>
      <c r="V24" s="41">
        <v>9.1379000000000002E-2</v>
      </c>
      <c r="W24" s="41">
        <f t="shared" ref="W24" si="83">V24+(X24-V24)/2</f>
        <v>9.1487499999999999E-2</v>
      </c>
      <c r="X24" s="41">
        <v>9.1595999999999997E-2</v>
      </c>
      <c r="Y24" s="41">
        <f t="shared" ref="Y24" si="84">X24+(Z24-X24)/2</f>
        <v>9.1705000000000009E-2</v>
      </c>
      <c r="Z24" s="41">
        <v>9.1814000000000007E-2</v>
      </c>
      <c r="AA24" s="41">
        <f t="shared" ref="AA24" si="85">Z24+(AB24-Z24)/2</f>
        <v>9.1923000000000005E-2</v>
      </c>
      <c r="AB24" s="41">
        <v>9.2032000000000003E-2</v>
      </c>
      <c r="AC24" s="41">
        <f t="shared" ref="AC24" si="86">AB24+(AD24-AB24)/2</f>
        <v>9.2141500000000001E-2</v>
      </c>
      <c r="AD24" s="41">
        <v>9.2251E-2</v>
      </c>
      <c r="AE24" s="41">
        <f t="shared" ref="AE24" si="87">AD24+(AF24-AD24)/2</f>
        <v>9.2360499999999998E-2</v>
      </c>
      <c r="AF24" s="41">
        <v>9.2469999999999997E-2</v>
      </c>
      <c r="AG24" s="41">
        <f t="shared" ref="AG24" si="88">AF24+(AH24-AF24)/2</f>
        <v>9.2579999999999996E-2</v>
      </c>
      <c r="AH24" s="41">
        <v>9.2689999999999995E-2</v>
      </c>
      <c r="AI24" s="41">
        <f t="shared" ref="AI24" si="89">AH24+(AJ24-AH24)/2</f>
        <v>9.2800499999999994E-2</v>
      </c>
      <c r="AJ24" s="41">
        <v>9.2910999999999994E-2</v>
      </c>
      <c r="AK24" s="41">
        <f t="shared" ref="AK24" si="90">AJ24+(AL24-AJ24)/2</f>
        <v>9.3021999999999994E-2</v>
      </c>
      <c r="AL24" s="41">
        <v>9.3132999999999994E-2</v>
      </c>
      <c r="AM24" s="41">
        <f t="shared" ref="AM24" si="91">AL24+(AN24-AL24)/2</f>
        <v>9.3243999999999994E-2</v>
      </c>
      <c r="AN24" s="41">
        <v>9.3354999999999994E-2</v>
      </c>
      <c r="AO24" s="41">
        <f t="shared" ref="AO24" si="92">AN24+(AP24-AN24)/2</f>
        <v>9.3466499999999994E-2</v>
      </c>
      <c r="AP24" s="42">
        <v>9.3577999999999995E-2</v>
      </c>
    </row>
    <row r="25" spans="1:47" ht="20.25" customHeight="1" x14ac:dyDescent="0.2">
      <c r="A25" s="6" t="s">
        <v>27</v>
      </c>
      <c r="B25" s="41">
        <v>8.9173000000000002E-2</v>
      </c>
      <c r="C25" s="41">
        <f t="shared" si="2"/>
        <v>8.9275999999999994E-2</v>
      </c>
      <c r="D25" s="41">
        <v>8.9379E-2</v>
      </c>
      <c r="E25" s="41">
        <f t="shared" si="2"/>
        <v>8.9482499999999993E-2</v>
      </c>
      <c r="F25" s="41">
        <v>8.9585999999999999E-2</v>
      </c>
      <c r="G25" s="41">
        <f t="shared" ref="G25" si="93">F25+(H25-F25)/2</f>
        <v>8.9689500000000005E-2</v>
      </c>
      <c r="H25" s="41">
        <v>8.9792999999999998E-2</v>
      </c>
      <c r="I25" s="41">
        <f t="shared" ref="I25" si="94">H25+(J25-H25)/2</f>
        <v>8.989649999999999E-2</v>
      </c>
      <c r="J25" s="41">
        <v>0.09</v>
      </c>
      <c r="K25" s="41">
        <f t="shared" ref="K25" si="95">J25+(L25-J25)/2</f>
        <v>9.010399999999999E-2</v>
      </c>
      <c r="L25" s="41">
        <v>9.0207999999999997E-2</v>
      </c>
      <c r="M25" s="41">
        <f t="shared" ref="M25" si="96">L25+(N25-L25)/2</f>
        <v>9.0312000000000003E-2</v>
      </c>
      <c r="N25" s="41">
        <v>9.0415999999999996E-2</v>
      </c>
      <c r="O25" s="41">
        <f t="shared" ref="O25" si="97">N25+(P25-N25)/2</f>
        <v>9.0519999999999989E-2</v>
      </c>
      <c r="P25" s="41">
        <v>9.0623999999999996E-2</v>
      </c>
      <c r="Q25" s="41">
        <f t="shared" ref="Q25" si="98">P25+(R25-P25)/2</f>
        <v>9.072849999999999E-2</v>
      </c>
      <c r="R25" s="48">
        <v>9.0832999999999997E-2</v>
      </c>
      <c r="S25" s="41">
        <f t="shared" ref="S25" si="99">R25+(T25-R25)/2</f>
        <v>9.0937500000000004E-2</v>
      </c>
      <c r="T25" s="41">
        <v>9.1041999999999998E-2</v>
      </c>
      <c r="U25" s="41">
        <f t="shared" ref="U25" si="100">T25+(V25-T25)/2</f>
        <v>9.1147000000000006E-2</v>
      </c>
      <c r="V25" s="41">
        <v>9.1252E-2</v>
      </c>
      <c r="W25" s="41">
        <f t="shared" ref="W25" si="101">V25+(X25-V25)/2</f>
        <v>9.1356999999999994E-2</v>
      </c>
      <c r="X25" s="41">
        <v>9.1462000000000002E-2</v>
      </c>
      <c r="Y25" s="41">
        <f t="shared" ref="Y25" si="102">X25+(Z25-X25)/2</f>
        <v>9.1567499999999996E-2</v>
      </c>
      <c r="Z25" s="41">
        <v>9.1673000000000004E-2</v>
      </c>
      <c r="AA25" s="41">
        <f t="shared" ref="AA25" si="103">Z25+(AB25-Z25)/2</f>
        <v>9.1778499999999999E-2</v>
      </c>
      <c r="AB25" s="41">
        <v>9.1883999999999993E-2</v>
      </c>
      <c r="AC25" s="41">
        <f t="shared" ref="AC25" si="104">AB25+(AD25-AB25)/2</f>
        <v>9.1989500000000002E-2</v>
      </c>
      <c r="AD25" s="41">
        <v>9.2094999999999996E-2</v>
      </c>
      <c r="AE25" s="41">
        <f t="shared" ref="AE25" si="105">AD25+(AF25-AD25)/2</f>
        <v>9.2201000000000005E-2</v>
      </c>
      <c r="AF25" s="41">
        <v>9.2307E-2</v>
      </c>
      <c r="AG25" s="41">
        <f t="shared" ref="AG25" si="106">AF25+(AH25-AF25)/2</f>
        <v>9.241350000000001E-2</v>
      </c>
      <c r="AH25" s="41">
        <v>9.2520000000000005E-2</v>
      </c>
      <c r="AI25" s="41">
        <f t="shared" ref="AI25" si="107">AH25+(AJ25-AH25)/2</f>
        <v>9.2626500000000001E-2</v>
      </c>
      <c r="AJ25" s="41">
        <v>9.2732999999999996E-2</v>
      </c>
      <c r="AK25" s="41">
        <f t="shared" ref="AK25" si="108">AJ25+(AL25-AJ25)/2</f>
        <v>9.2840000000000006E-2</v>
      </c>
      <c r="AL25" s="41">
        <v>9.2947000000000002E-2</v>
      </c>
      <c r="AM25" s="41">
        <f t="shared" ref="AM25" si="109">AL25+(AN25-AL25)/2</f>
        <v>9.3053999999999998E-2</v>
      </c>
      <c r="AN25" s="41">
        <v>9.3160999999999994E-2</v>
      </c>
      <c r="AO25" s="41">
        <f t="shared" ref="AO25" si="110">AN25+(AP25-AN25)/2</f>
        <v>9.3268500000000004E-2</v>
      </c>
      <c r="AP25" s="42">
        <v>9.3376000000000001E-2</v>
      </c>
    </row>
    <row r="26" spans="1:47" ht="20.25" customHeight="1" x14ac:dyDescent="0.2">
      <c r="A26" s="6" t="s">
        <v>28</v>
      </c>
      <c r="B26" s="46">
        <f>B25+(B25-B23)</f>
        <v>0.10363800000000001</v>
      </c>
      <c r="C26" s="41">
        <f t="shared" si="2"/>
        <v>0.1037525</v>
      </c>
      <c r="D26" s="46">
        <f>D25+(D25-D23)</f>
        <v>0.103867</v>
      </c>
      <c r="E26" s="41">
        <f t="shared" si="2"/>
        <v>0.10398199999999999</v>
      </c>
      <c r="F26" s="46">
        <f>F25+(F25-F23)</f>
        <v>0.104097</v>
      </c>
      <c r="G26" s="41">
        <f t="shared" ref="G26" si="111">F26+(H26-F26)/2</f>
        <v>0.104212</v>
      </c>
      <c r="H26" s="46">
        <f>H25+(H25-H23)</f>
        <v>0.10432699999999999</v>
      </c>
      <c r="I26" s="41">
        <f t="shared" ref="I26" si="112">H26+(J26-H26)/2</f>
        <v>0.10444099999999999</v>
      </c>
      <c r="J26" s="46">
        <f>J25+(J25-J23)</f>
        <v>0.104555</v>
      </c>
      <c r="K26" s="41">
        <f t="shared" ref="K26" si="113">J26+(L26-J26)/2</f>
        <v>0.10466999999999999</v>
      </c>
      <c r="L26" s="46">
        <f>L25+(L25-L23)</f>
        <v>0.10478499999999999</v>
      </c>
      <c r="M26" s="41">
        <f t="shared" ref="M26" si="114">L26+(N26-L26)/2</f>
        <v>0.10489949999999999</v>
      </c>
      <c r="N26" s="46">
        <f>N25+(N25-N23)</f>
        <v>0.105014</v>
      </c>
      <c r="O26" s="41">
        <f t="shared" ref="O26" si="115">N26+(P26-N26)/2</f>
        <v>0.105128</v>
      </c>
      <c r="P26" s="46">
        <f>P25+(P25-P23)</f>
        <v>0.10524199999999999</v>
      </c>
      <c r="Q26" s="41">
        <f t="shared" ref="Q26" si="116">P26+(R26-P26)/2</f>
        <v>0.10535699999999999</v>
      </c>
      <c r="R26" s="46">
        <f>R25+(R25-R23)</f>
        <v>0.105472</v>
      </c>
      <c r="S26" s="41">
        <f t="shared" ref="S26" si="117">R26+(T26-R26)/2</f>
        <v>0.105586</v>
      </c>
      <c r="T26" s="46">
        <f>T25+(T25-T23)</f>
        <v>0.1057</v>
      </c>
      <c r="U26" s="41">
        <f t="shared" ref="U26" si="118">T26+(V26-T26)/2</f>
        <v>0.10581499999999999</v>
      </c>
      <c r="V26" s="46">
        <f>V25+(V25-V23)</f>
        <v>0.10593</v>
      </c>
      <c r="W26" s="41">
        <f t="shared" ref="W26" si="119">V26+(X26-V26)/2</f>
        <v>0.1060445</v>
      </c>
      <c r="X26" s="46">
        <f>X25+(X25-X23)</f>
        <v>0.106159</v>
      </c>
      <c r="Y26" s="41">
        <f t="shared" ref="Y26" si="120">X26+(Z26-X26)/2</f>
        <v>0.10627400000000001</v>
      </c>
      <c r="Z26" s="46">
        <f>Z25+(Z25-Z23)</f>
        <v>0.10638900000000001</v>
      </c>
      <c r="AA26" s="41">
        <f t="shared" ref="AA26" si="121">Z26+(AB26-Z26)/2</f>
        <v>0.1065035</v>
      </c>
      <c r="AB26" s="46">
        <f>AB25+(AB25-AB23)</f>
        <v>0.10661799999999999</v>
      </c>
      <c r="AC26" s="41">
        <f t="shared" ref="AC26" si="122">AB26+(AD26-AB26)/2</f>
        <v>0.10673199999999999</v>
      </c>
      <c r="AD26" s="46">
        <f>AD25+(AD25-AD23)</f>
        <v>0.106846</v>
      </c>
      <c r="AE26" s="41">
        <f t="shared" ref="AE26" si="123">AD26+(AF26-AD26)/2</f>
        <v>0.1069605</v>
      </c>
      <c r="AF26" s="46">
        <f>AF25+(AF25-AF23)</f>
        <v>0.107075</v>
      </c>
      <c r="AG26" s="41">
        <f t="shared" ref="AG26" si="124">AF26+(AH26-AF26)/2</f>
        <v>0.10719050000000001</v>
      </c>
      <c r="AH26" s="46">
        <f>AH25+(AH25-AH23)</f>
        <v>0.10730600000000001</v>
      </c>
      <c r="AI26" s="41">
        <f t="shared" ref="AI26" si="125">AH26+(AJ26-AH26)/2</f>
        <v>0.1074205</v>
      </c>
      <c r="AJ26" s="46">
        <f>AJ25+(AJ25-AJ23)</f>
        <v>0.10753499999999999</v>
      </c>
      <c r="AK26" s="41">
        <f t="shared" ref="AK26" si="126">AJ26+(AL26-AJ26)/2</f>
        <v>0.1076505</v>
      </c>
      <c r="AL26" s="46">
        <f>AL25+(AL25-AL23)</f>
        <v>0.107766</v>
      </c>
      <c r="AM26" s="41">
        <f t="shared" ref="AM26" si="127">AL26+(AN26-AL26)/2</f>
        <v>0.10788049999999999</v>
      </c>
      <c r="AN26" s="46">
        <f>AN25+(AN25-AN23)</f>
        <v>0.10799499999999999</v>
      </c>
      <c r="AO26" s="41">
        <f t="shared" ref="AO26" si="128">AN26+(AP26-AN26)/2</f>
        <v>0.1081105</v>
      </c>
      <c r="AP26" s="61">
        <f>AP25+(AP25-AP23)</f>
        <v>0.108226</v>
      </c>
    </row>
    <row r="27" spans="1:47" ht="20.25" customHeight="1" x14ac:dyDescent="0.2">
      <c r="A27" s="6" t="s">
        <v>29</v>
      </c>
      <c r="B27" s="41">
        <v>3.7543E-2</v>
      </c>
      <c r="C27" s="41">
        <f t="shared" si="2"/>
        <v>3.7811999999999998E-2</v>
      </c>
      <c r="D27" s="41">
        <v>3.8080999999999997E-2</v>
      </c>
      <c r="E27" s="41">
        <f t="shared" si="2"/>
        <v>3.8365499999999997E-2</v>
      </c>
      <c r="F27" s="41">
        <v>3.8649999999999997E-2</v>
      </c>
      <c r="G27" s="41">
        <f t="shared" ref="G27" si="129">F27+(H27-F27)/2</f>
        <v>3.8952000000000001E-2</v>
      </c>
      <c r="H27" s="41">
        <v>3.9253999999999997E-2</v>
      </c>
      <c r="I27" s="41">
        <f t="shared" ref="I27" si="130">H27+(J27-H27)/2</f>
        <v>3.95755E-2</v>
      </c>
      <c r="J27" s="41">
        <v>3.9897000000000002E-2</v>
      </c>
      <c r="K27" s="41">
        <f t="shared" ref="K27" si="131">J27+(L27-J27)/2</f>
        <v>4.0241499999999999E-2</v>
      </c>
      <c r="L27" s="41">
        <v>4.0585999999999997E-2</v>
      </c>
      <c r="M27" s="41">
        <f t="shared" ref="M27" si="132">L27+(N27-L27)/2</f>
        <v>4.09565E-2</v>
      </c>
      <c r="N27" s="41">
        <v>4.1327000000000003E-2</v>
      </c>
      <c r="O27" s="41">
        <f t="shared" ref="O27" si="133">N27+(P27-N27)/2</f>
        <v>4.1727500000000001E-2</v>
      </c>
      <c r="P27" s="41">
        <v>4.2127999999999999E-2</v>
      </c>
      <c r="Q27" s="41">
        <f t="shared" ref="Q27" si="134">P27+(R27-P27)/2</f>
        <v>4.2564999999999999E-2</v>
      </c>
      <c r="R27" s="48">
        <v>4.3001999999999999E-2</v>
      </c>
      <c r="S27" s="41">
        <f t="shared" ref="S27" si="135">R27+(T27-R27)/2</f>
        <v>4.34825E-2</v>
      </c>
      <c r="T27" s="41">
        <v>4.3963000000000002E-2</v>
      </c>
      <c r="U27" s="41">
        <f t="shared" ref="U27" si="136">T27+(V27-T27)/2</f>
        <v>4.4497000000000002E-2</v>
      </c>
      <c r="V27" s="41">
        <v>4.5031000000000002E-2</v>
      </c>
      <c r="W27" s="41">
        <f t="shared" ref="W27" si="137">V27+(X27-V27)/2</f>
        <v>4.5631000000000005E-2</v>
      </c>
      <c r="X27" s="41">
        <v>4.6231000000000001E-2</v>
      </c>
      <c r="Y27" s="41">
        <f t="shared" ref="Y27" si="138">X27+(Z27-X27)/2</f>
        <v>4.69165E-2</v>
      </c>
      <c r="Z27" s="41">
        <v>4.7601999999999998E-2</v>
      </c>
      <c r="AA27" s="41">
        <f t="shared" ref="AA27" si="139">Z27+(AB27-Z27)/2</f>
        <v>4.8390500000000003E-2</v>
      </c>
      <c r="AB27" s="41">
        <v>4.9179E-2</v>
      </c>
      <c r="AC27" s="41">
        <f t="shared" ref="AC27" si="140">AB27+(AD27-AB27)/2</f>
        <v>5.0032E-2</v>
      </c>
      <c r="AD27" s="41">
        <v>5.0885E-2</v>
      </c>
      <c r="AE27" s="41">
        <f t="shared" ref="AE27" si="141">AD27+(AF27-AD27)/2</f>
        <v>5.1799499999999998E-2</v>
      </c>
      <c r="AF27" s="41">
        <v>5.2713999999999997E-2</v>
      </c>
      <c r="AG27" s="41">
        <f t="shared" ref="AG27" si="142">AF27+(AH27-AF27)/2</f>
        <v>5.3696499999999994E-2</v>
      </c>
      <c r="AH27" s="41">
        <v>5.4678999999999998E-2</v>
      </c>
      <c r="AI27" s="41">
        <f t="shared" ref="AI27" si="143">AH27+(AJ27-AH27)/2</f>
        <v>5.5737999999999996E-2</v>
      </c>
      <c r="AJ27" s="41">
        <v>5.6797E-2</v>
      </c>
      <c r="AK27" s="41">
        <f t="shared" ref="AK27" si="144">AJ27+(AL27-AJ27)/2</f>
        <v>5.7940999999999999E-2</v>
      </c>
      <c r="AL27" s="41">
        <v>5.9084999999999999E-2</v>
      </c>
      <c r="AM27" s="41">
        <f t="shared" ref="AM27" si="145">AL27+(AN27-AL27)/2</f>
        <v>6.0325000000000004E-2</v>
      </c>
      <c r="AN27" s="41">
        <v>6.1565000000000002E-2</v>
      </c>
      <c r="AO27" s="41">
        <f t="shared" ref="AO27" si="146">AN27+(AP27-AN27)/2</f>
        <v>6.2913999999999998E-2</v>
      </c>
      <c r="AP27" s="42">
        <v>6.4263000000000001E-2</v>
      </c>
    </row>
    <row r="28" spans="1:47" ht="20.25" customHeight="1" thickBot="1" x14ac:dyDescent="0.25">
      <c r="A28" s="7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9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21"/>
    </row>
    <row r="29" spans="1:47" ht="20.25" customHeight="1" thickTop="1" thickBot="1" x14ac:dyDescent="0.25"/>
    <row r="30" spans="1:47" ht="35.1" customHeight="1" thickTop="1" thickBot="1" x14ac:dyDescent="0.25">
      <c r="A30" s="18" t="s">
        <v>37</v>
      </c>
      <c r="B30" s="44" t="s">
        <v>36</v>
      </c>
      <c r="C30" s="44" t="s">
        <v>36</v>
      </c>
      <c r="D30" s="44" t="s">
        <v>36</v>
      </c>
      <c r="E30" s="44" t="s">
        <v>36</v>
      </c>
      <c r="F30" s="44" t="s">
        <v>36</v>
      </c>
      <c r="G30" s="44" t="s">
        <v>36</v>
      </c>
      <c r="H30" s="44" t="s">
        <v>36</v>
      </c>
      <c r="I30" s="44" t="s">
        <v>36</v>
      </c>
      <c r="J30" s="44" t="s">
        <v>36</v>
      </c>
      <c r="K30" s="44" t="s">
        <v>36</v>
      </c>
      <c r="L30" s="44" t="s">
        <v>36</v>
      </c>
      <c r="M30" s="44" t="s">
        <v>36</v>
      </c>
      <c r="N30" s="44" t="s">
        <v>36</v>
      </c>
      <c r="O30" s="44" t="s">
        <v>36</v>
      </c>
      <c r="P30" s="44" t="s">
        <v>36</v>
      </c>
      <c r="Q30" s="44" t="s">
        <v>36</v>
      </c>
      <c r="R30" s="44" t="s">
        <v>36</v>
      </c>
      <c r="S30" s="44" t="s">
        <v>36</v>
      </c>
      <c r="T30" s="44" t="s">
        <v>36</v>
      </c>
      <c r="U30" s="44" t="s">
        <v>36</v>
      </c>
      <c r="V30" s="44" t="s">
        <v>36</v>
      </c>
      <c r="W30" s="44" t="s">
        <v>36</v>
      </c>
      <c r="X30" s="44" t="s">
        <v>36</v>
      </c>
      <c r="Y30" s="44" t="s">
        <v>36</v>
      </c>
      <c r="Z30" s="44" t="s">
        <v>36</v>
      </c>
      <c r="AA30" s="44" t="s">
        <v>36</v>
      </c>
      <c r="AB30" s="44" t="s">
        <v>36</v>
      </c>
      <c r="AC30" s="44" t="s">
        <v>36</v>
      </c>
      <c r="AD30" s="44" t="s">
        <v>36</v>
      </c>
      <c r="AE30" s="44" t="s">
        <v>36</v>
      </c>
      <c r="AF30" s="44" t="s">
        <v>36</v>
      </c>
      <c r="AG30" s="44" t="s">
        <v>36</v>
      </c>
      <c r="AH30" s="44" t="s">
        <v>36</v>
      </c>
      <c r="AI30" s="44" t="s">
        <v>36</v>
      </c>
      <c r="AJ30" s="44" t="s">
        <v>36</v>
      </c>
      <c r="AK30" s="44" t="s">
        <v>36</v>
      </c>
      <c r="AL30" s="44" t="s">
        <v>36</v>
      </c>
      <c r="AM30" s="44" t="s">
        <v>36</v>
      </c>
      <c r="AN30" s="44" t="s">
        <v>36</v>
      </c>
      <c r="AO30" s="44" t="s">
        <v>36</v>
      </c>
      <c r="AP30" s="44" t="s">
        <v>36</v>
      </c>
      <c r="AQ30" s="44" t="s">
        <v>36</v>
      </c>
      <c r="AR30" s="44" t="s">
        <v>36</v>
      </c>
      <c r="AS30" s="44" t="s">
        <v>36</v>
      </c>
      <c r="AT30" s="44" t="s">
        <v>36</v>
      </c>
      <c r="AU30" s="45" t="s">
        <v>36</v>
      </c>
    </row>
    <row r="31" spans="1:47" ht="20.25" customHeight="1" thickTop="1" x14ac:dyDescent="0.2">
      <c r="A31" s="15" t="s">
        <v>133</v>
      </c>
      <c r="B31" s="41">
        <v>90</v>
      </c>
      <c r="C31" s="41">
        <v>91</v>
      </c>
      <c r="D31" s="41">
        <v>92</v>
      </c>
      <c r="E31" s="41">
        <v>93</v>
      </c>
      <c r="F31" s="41">
        <v>94</v>
      </c>
      <c r="G31" s="41">
        <v>95</v>
      </c>
      <c r="H31" s="41">
        <v>96</v>
      </c>
      <c r="I31" s="41">
        <v>97</v>
      </c>
      <c r="J31" s="41">
        <v>98</v>
      </c>
      <c r="K31" s="41">
        <v>99</v>
      </c>
      <c r="L31" s="41">
        <v>100</v>
      </c>
      <c r="M31" s="41">
        <v>101</v>
      </c>
      <c r="N31" s="41">
        <v>102</v>
      </c>
      <c r="O31" s="41">
        <v>103</v>
      </c>
      <c r="P31" s="41">
        <v>104</v>
      </c>
      <c r="Q31" s="41">
        <v>105</v>
      </c>
      <c r="R31" s="41">
        <v>106</v>
      </c>
      <c r="S31" s="41">
        <v>107</v>
      </c>
      <c r="T31" s="41">
        <v>108</v>
      </c>
      <c r="U31" s="41">
        <v>109</v>
      </c>
      <c r="V31" s="41">
        <v>110</v>
      </c>
      <c r="W31" s="41">
        <v>111</v>
      </c>
      <c r="X31" s="41">
        <v>112</v>
      </c>
      <c r="Y31" s="41">
        <v>113</v>
      </c>
      <c r="Z31" s="41">
        <v>114</v>
      </c>
      <c r="AA31" s="41">
        <v>115</v>
      </c>
      <c r="AB31" s="41">
        <v>116</v>
      </c>
      <c r="AC31" s="41">
        <v>117</v>
      </c>
      <c r="AD31" s="41">
        <v>118</v>
      </c>
      <c r="AE31" s="41">
        <v>119</v>
      </c>
      <c r="AF31" s="41">
        <v>120</v>
      </c>
      <c r="AG31" s="41">
        <v>121</v>
      </c>
      <c r="AH31" s="41">
        <v>122</v>
      </c>
      <c r="AI31" s="41">
        <v>123</v>
      </c>
      <c r="AJ31" s="41">
        <v>124</v>
      </c>
      <c r="AK31" s="41">
        <v>125</v>
      </c>
      <c r="AL31" s="41">
        <v>126</v>
      </c>
      <c r="AM31" s="41">
        <v>127</v>
      </c>
      <c r="AN31" s="41">
        <v>128</v>
      </c>
      <c r="AO31" s="41">
        <v>129</v>
      </c>
      <c r="AP31" s="41">
        <v>130</v>
      </c>
      <c r="AQ31" s="41">
        <v>131</v>
      </c>
      <c r="AR31" s="41">
        <v>132</v>
      </c>
      <c r="AS31" s="41">
        <v>133</v>
      </c>
      <c r="AT31" s="41">
        <v>134</v>
      </c>
      <c r="AU31" s="57">
        <v>135</v>
      </c>
    </row>
    <row r="32" spans="1:47" ht="20.25" customHeight="1" x14ac:dyDescent="0.2">
      <c r="A32" s="15" t="s">
        <v>20</v>
      </c>
      <c r="B32" s="41">
        <f>B31-273.15</f>
        <v>-183.14999999999998</v>
      </c>
      <c r="C32" s="41">
        <f t="shared" ref="C32" si="147">C31-273.15</f>
        <v>-182.14999999999998</v>
      </c>
      <c r="D32" s="41">
        <f t="shared" ref="D32" si="148">D31-273.15</f>
        <v>-181.14999999999998</v>
      </c>
      <c r="E32" s="41">
        <f t="shared" ref="E32" si="149">E31-273.15</f>
        <v>-180.14999999999998</v>
      </c>
      <c r="F32" s="41">
        <f t="shared" ref="F32" si="150">F31-273.15</f>
        <v>-179.14999999999998</v>
      </c>
      <c r="G32" s="41">
        <f t="shared" ref="G32" si="151">G31-273.15</f>
        <v>-178.14999999999998</v>
      </c>
      <c r="H32" s="41">
        <f t="shared" ref="H32" si="152">H31-273.15</f>
        <v>-177.14999999999998</v>
      </c>
      <c r="I32" s="41">
        <f t="shared" ref="I32" si="153">I31-273.15</f>
        <v>-176.14999999999998</v>
      </c>
      <c r="J32" s="41">
        <f t="shared" ref="J32" si="154">J31-273.15</f>
        <v>-175.14999999999998</v>
      </c>
      <c r="K32" s="41">
        <f t="shared" ref="K32" si="155">K31-273.15</f>
        <v>-174.14999999999998</v>
      </c>
      <c r="L32" s="41">
        <f t="shared" ref="L32" si="156">L31-273.15</f>
        <v>-173.14999999999998</v>
      </c>
      <c r="M32" s="41">
        <f t="shared" ref="M32" si="157">M31-273.15</f>
        <v>-172.14999999999998</v>
      </c>
      <c r="N32" s="41">
        <f t="shared" ref="N32" si="158">N31-273.15</f>
        <v>-171.14999999999998</v>
      </c>
      <c r="O32" s="41">
        <f t="shared" ref="O32" si="159">O31-273.15</f>
        <v>-170.14999999999998</v>
      </c>
      <c r="P32" s="41">
        <f t="shared" ref="P32" si="160">P31-273.15</f>
        <v>-169.14999999999998</v>
      </c>
      <c r="Q32" s="41">
        <f t="shared" ref="Q32" si="161">Q31-273.15</f>
        <v>-168.14999999999998</v>
      </c>
      <c r="R32" s="41">
        <f t="shared" ref="R32" si="162">R31-273.15</f>
        <v>-167.14999999999998</v>
      </c>
      <c r="S32" s="41">
        <f t="shared" ref="S32" si="163">S31-273.15</f>
        <v>-166.14999999999998</v>
      </c>
      <c r="T32" s="41">
        <f t="shared" ref="T32" si="164">T31-273.15</f>
        <v>-165.14999999999998</v>
      </c>
      <c r="U32" s="41">
        <f t="shared" ref="U32" si="165">U31-273.15</f>
        <v>-164.14999999999998</v>
      </c>
      <c r="V32" s="41">
        <f t="shared" ref="V32" si="166">V31-273.15</f>
        <v>-163.14999999999998</v>
      </c>
      <c r="W32" s="41">
        <f t="shared" ref="W32" si="167">W31-273.15</f>
        <v>-162.14999999999998</v>
      </c>
      <c r="X32" s="41">
        <f t="shared" ref="X32" si="168">X31-273.15</f>
        <v>-161.14999999999998</v>
      </c>
      <c r="Y32" s="41">
        <f t="shared" ref="Y32" si="169">Y31-273.15</f>
        <v>-160.14999999999998</v>
      </c>
      <c r="Z32" s="41">
        <f t="shared" ref="Z32" si="170">Z31-273.15</f>
        <v>-159.14999999999998</v>
      </c>
      <c r="AA32" s="41">
        <f t="shared" ref="AA32" si="171">AA31-273.15</f>
        <v>-158.14999999999998</v>
      </c>
      <c r="AB32" s="41">
        <f t="shared" ref="AB32" si="172">AB31-273.15</f>
        <v>-157.14999999999998</v>
      </c>
      <c r="AC32" s="41">
        <f t="shared" ref="AC32" si="173">AC31-273.15</f>
        <v>-156.14999999999998</v>
      </c>
      <c r="AD32" s="41">
        <f t="shared" ref="AD32" si="174">AD31-273.15</f>
        <v>-155.14999999999998</v>
      </c>
      <c r="AE32" s="41">
        <f t="shared" ref="AE32" si="175">AE31-273.15</f>
        <v>-154.14999999999998</v>
      </c>
      <c r="AF32" s="41">
        <f t="shared" ref="AF32" si="176">AF31-273.15</f>
        <v>-153.14999999999998</v>
      </c>
      <c r="AG32" s="41">
        <f t="shared" ref="AG32" si="177">AG31-273.15</f>
        <v>-152.14999999999998</v>
      </c>
      <c r="AH32" s="41">
        <f t="shared" ref="AH32" si="178">AH31-273.15</f>
        <v>-151.14999999999998</v>
      </c>
      <c r="AI32" s="41">
        <f t="shared" ref="AI32" si="179">AI31-273.15</f>
        <v>-150.14999999999998</v>
      </c>
      <c r="AJ32" s="41">
        <f t="shared" ref="AJ32" si="180">AJ31-273.15</f>
        <v>-149.14999999999998</v>
      </c>
      <c r="AK32" s="41">
        <f t="shared" ref="AK32" si="181">AK31-273.15</f>
        <v>-148.14999999999998</v>
      </c>
      <c r="AL32" s="41">
        <f t="shared" ref="AL32" si="182">AL31-273.15</f>
        <v>-147.14999999999998</v>
      </c>
      <c r="AM32" s="41">
        <f t="shared" ref="AM32" si="183">AM31-273.15</f>
        <v>-146.14999999999998</v>
      </c>
      <c r="AN32" s="41">
        <f t="shared" ref="AN32" si="184">AN31-273.15</f>
        <v>-145.14999999999998</v>
      </c>
      <c r="AO32" s="41">
        <f t="shared" ref="AO32" si="185">AO31-273.15</f>
        <v>-144.14999999999998</v>
      </c>
      <c r="AP32" s="41">
        <f t="shared" ref="AP32" si="186">AP31-273.15</f>
        <v>-143.14999999999998</v>
      </c>
      <c r="AQ32" s="41">
        <f t="shared" ref="AQ32" si="187">AQ31-273.15</f>
        <v>-142.14999999999998</v>
      </c>
      <c r="AR32" s="41">
        <f t="shared" ref="AR32" si="188">AR31-273.15</f>
        <v>-141.14999999999998</v>
      </c>
      <c r="AS32" s="41">
        <f t="shared" ref="AS32" si="189">AS31-273.15</f>
        <v>-140.14999999999998</v>
      </c>
      <c r="AT32" s="41">
        <f t="shared" ref="AT32" si="190">AT31-273.15</f>
        <v>-139.14999999999998</v>
      </c>
      <c r="AU32" s="42">
        <f t="shared" ref="AU32" si="191">AU31-273.15</f>
        <v>-138.14999999999998</v>
      </c>
    </row>
    <row r="33" spans="1:47" ht="20.25" customHeight="1" x14ac:dyDescent="0.2">
      <c r="A33" s="6">
        <v>16</v>
      </c>
      <c r="B33" s="41">
        <v>-5.0000000000000001E-3</v>
      </c>
      <c r="C33" s="41">
        <f>B33+1*(G33-B33)/5</f>
        <v>-5.1999999999999998E-3</v>
      </c>
      <c r="D33" s="41">
        <f>B33+2*(G33-B33)/5</f>
        <v>-5.4000000000000003E-3</v>
      </c>
      <c r="E33" s="41">
        <f>B33+3*(G33-B33)/5</f>
        <v>-5.5999999999999999E-3</v>
      </c>
      <c r="F33" s="41">
        <f>B33+4*(G33-B33)/5</f>
        <v>-5.8000000000000005E-3</v>
      </c>
      <c r="G33" s="41">
        <v>-6.0000000000000001E-3</v>
      </c>
      <c r="H33" s="41">
        <f>G33+1*(L33-G33)/5</f>
        <v>-6.1999999999999998E-3</v>
      </c>
      <c r="I33" s="41">
        <f>G33+2*(L33-G33)/5</f>
        <v>-6.4000000000000003E-3</v>
      </c>
      <c r="J33" s="41">
        <f>G33+3*(L33-G33)/5</f>
        <v>-6.6E-3</v>
      </c>
      <c r="K33" s="41">
        <f>G33+4*(L33-G33)/5</f>
        <v>-6.8000000000000005E-3</v>
      </c>
      <c r="L33" s="41">
        <v>-7.0000000000000001E-3</v>
      </c>
      <c r="M33" s="41">
        <f>L33+1*(Q33-L33)/5</f>
        <v>-7.0000000000000001E-3</v>
      </c>
      <c r="N33" s="41">
        <f>L33+2*(Q33-L33)/5</f>
        <v>-7.0000000000000001E-3</v>
      </c>
      <c r="O33" s="41">
        <f>L33+3*(Q33-L33)/5</f>
        <v>-7.0000000000000001E-3</v>
      </c>
      <c r="P33" s="41">
        <f>L33+4*(Q33-L33)/5</f>
        <v>-7.0000000000000001E-3</v>
      </c>
      <c r="Q33" s="41">
        <v>-7.0000000000000001E-3</v>
      </c>
      <c r="R33" s="41">
        <f>Q33+1*(V33-Q33)/5</f>
        <v>-7.1999999999999998E-3</v>
      </c>
      <c r="S33" s="41">
        <f>Q33+2*(V33-Q33)/5</f>
        <v>-7.4000000000000003E-3</v>
      </c>
      <c r="T33" s="41">
        <f>Q33+3*(V33-Q33)/5</f>
        <v>-7.6E-3</v>
      </c>
      <c r="U33" s="41">
        <f>Q33+4*(V33-Q33)/5</f>
        <v>-7.8000000000000005E-3</v>
      </c>
      <c r="V33" s="41">
        <v>-8.0000000000000002E-3</v>
      </c>
      <c r="W33" s="41">
        <f>V33+1*(AA33-V33)/5</f>
        <v>-8.2000000000000007E-3</v>
      </c>
      <c r="X33" s="41">
        <f>V33+2*(AA33-V33)/5</f>
        <v>-8.3999999999999995E-3</v>
      </c>
      <c r="Y33" s="41">
        <f>V33+3*(AA33-V33)/5</f>
        <v>-8.6E-3</v>
      </c>
      <c r="Z33" s="41">
        <f>V33+4*(AA33-V33)/5</f>
        <v>-8.7999999999999988E-3</v>
      </c>
      <c r="AA33" s="41">
        <v>-8.9999999999999993E-3</v>
      </c>
      <c r="AB33" s="41">
        <f>AA33+1*(AF33-AA33)/5</f>
        <v>-9.1999999999999998E-3</v>
      </c>
      <c r="AC33" s="41">
        <f>AA33+2*(AF33-AA33)/5</f>
        <v>-9.4000000000000004E-3</v>
      </c>
      <c r="AD33" s="41">
        <f>AA33+3*(AF33-AA33)/5</f>
        <v>-9.5999999999999992E-3</v>
      </c>
      <c r="AE33" s="41">
        <f>AA33+4*(AF33-AA33)/5</f>
        <v>-9.7999999999999997E-3</v>
      </c>
      <c r="AF33" s="41">
        <v>-0.01</v>
      </c>
      <c r="AG33" s="41">
        <f>AF33+1*(AK33-AF33)/5</f>
        <v>-1.06E-2</v>
      </c>
      <c r="AH33" s="41">
        <f>AF33+2*(AK33-AF33)/5</f>
        <v>-1.12E-2</v>
      </c>
      <c r="AI33" s="41">
        <f>AF33+3*(AK33-AF33)/5</f>
        <v>-1.18E-2</v>
      </c>
      <c r="AJ33" s="41">
        <f>AF33+4*(AK33-AF33)/5</f>
        <v>-1.24E-2</v>
      </c>
      <c r="AK33" s="41">
        <v>-1.2999999999999999E-2</v>
      </c>
      <c r="AL33" s="41">
        <f>AK33+1*(AP33-AK33)/5</f>
        <v>-1.3399999999999999E-2</v>
      </c>
      <c r="AM33" s="41">
        <f>AK33+2*(AP33-AK33)/5</f>
        <v>-1.38E-2</v>
      </c>
      <c r="AN33" s="41">
        <f>AK33+3*(AP33-AK33)/5</f>
        <v>-1.4199999999999999E-2</v>
      </c>
      <c r="AO33" s="41">
        <f>AK33+4*(AP33-AK33)/5</f>
        <v>-1.46E-2</v>
      </c>
      <c r="AP33" s="41">
        <v>-1.4999999999999999E-2</v>
      </c>
      <c r="AQ33" s="41">
        <f>AP33+1*(AU33-AP33)/5</f>
        <v>-1.54E-2</v>
      </c>
      <c r="AR33" s="41">
        <f>AP33+2*(AU33-AP33)/5</f>
        <v>-1.5800000000000002E-2</v>
      </c>
      <c r="AS33" s="41">
        <f>AP33+3*(AU33-AP33)/5</f>
        <v>-1.6199999999999999E-2</v>
      </c>
      <c r="AT33" s="41">
        <f>AP33+4*(AU33-AP33)/5</f>
        <v>-1.66E-2</v>
      </c>
      <c r="AU33" s="42">
        <v>-1.7000000000000001E-2</v>
      </c>
    </row>
    <row r="34" spans="1:47" ht="20.25" customHeight="1" x14ac:dyDescent="0.2">
      <c r="A34" s="6">
        <v>17</v>
      </c>
      <c r="B34" s="41">
        <v>0.12</v>
      </c>
      <c r="C34" s="41">
        <f t="shared" ref="C34:C42" si="192">B34+1*(G34-B34)/5</f>
        <v>0.123</v>
      </c>
      <c r="D34" s="41">
        <f t="shared" ref="D34:D42" si="193">B34+2*(G34-B34)/5</f>
        <v>0.126</v>
      </c>
      <c r="E34" s="41">
        <f t="shared" ref="E34:E42" si="194">B34+3*(G34-B34)/5</f>
        <v>0.129</v>
      </c>
      <c r="F34" s="41">
        <f t="shared" ref="F34:F42" si="195">B34+4*(G34-B34)/5</f>
        <v>0.13200000000000001</v>
      </c>
      <c r="G34" s="41">
        <v>0.13500000000000001</v>
      </c>
      <c r="H34" s="41">
        <f t="shared" ref="H34:H42" si="196">G34+1*(L34-G34)/5</f>
        <v>0.13800000000000001</v>
      </c>
      <c r="I34" s="41">
        <f t="shared" ref="I34:I42" si="197">G34+2*(L34-G34)/5</f>
        <v>0.14100000000000001</v>
      </c>
      <c r="J34" s="41">
        <f t="shared" ref="J34:J42" si="198">G34+3*(L34-G34)/5</f>
        <v>0.14399999999999999</v>
      </c>
      <c r="K34" s="41">
        <f t="shared" ref="K34:K42" si="199">G34+4*(L34-G34)/5</f>
        <v>0.14699999999999999</v>
      </c>
      <c r="L34" s="41">
        <v>0.15</v>
      </c>
      <c r="M34" s="41">
        <f t="shared" ref="M34:M42" si="200">L34+1*(Q34-L34)/5</f>
        <v>0.153</v>
      </c>
      <c r="N34" s="41">
        <f t="shared" ref="N34:N42" si="201">L34+2*(Q34-L34)/5</f>
        <v>0.156</v>
      </c>
      <c r="O34" s="41">
        <f t="shared" ref="O34:O42" si="202">L34+3*(Q34-L34)/5</f>
        <v>0.159</v>
      </c>
      <c r="P34" s="41">
        <f t="shared" ref="P34:P42" si="203">L34+4*(Q34-L34)/5</f>
        <v>0.16200000000000001</v>
      </c>
      <c r="Q34" s="41">
        <v>0.16500000000000001</v>
      </c>
      <c r="R34" s="41">
        <f t="shared" ref="R34:R42" si="204">Q34+1*(V34-Q34)/5</f>
        <v>0.16800000000000001</v>
      </c>
      <c r="S34" s="41">
        <f t="shared" ref="S34:S42" si="205">Q34+2*(V34-Q34)/5</f>
        <v>0.17100000000000001</v>
      </c>
      <c r="T34" s="41">
        <f t="shared" ref="T34:T42" si="206">Q34+3*(V34-Q34)/5</f>
        <v>0.17399999999999999</v>
      </c>
      <c r="U34" s="41">
        <f t="shared" ref="U34:U42" si="207">Q34+4*(V34-Q34)/5</f>
        <v>0.17699999999999999</v>
      </c>
      <c r="V34" s="41">
        <v>0.18</v>
      </c>
      <c r="W34" s="41">
        <f t="shared" ref="W34:W42" si="208">V34+1*(AA34-V34)/5</f>
        <v>0.188</v>
      </c>
      <c r="X34" s="41">
        <f t="shared" ref="X34:X42" si="209">V34+2*(AA34-V34)/5</f>
        <v>0.19600000000000001</v>
      </c>
      <c r="Y34" s="41">
        <f t="shared" ref="Y34:Y42" si="210">V34+3*(AA34-V34)/5</f>
        <v>0.20399999999999999</v>
      </c>
      <c r="Z34" s="41">
        <f t="shared" ref="Z34:Z42" si="211">V34+4*(AA34-V34)/5</f>
        <v>0.21199999999999999</v>
      </c>
      <c r="AA34" s="41">
        <v>0.22</v>
      </c>
      <c r="AB34" s="41">
        <f t="shared" ref="AB34:AB42" si="212">AA34+1*(AF34-AA34)/5</f>
        <v>0.22600000000000001</v>
      </c>
      <c r="AC34" s="41">
        <f t="shared" ref="AC34:AC42" si="213">AA34+2*(AF34-AA34)/5</f>
        <v>0.23200000000000001</v>
      </c>
      <c r="AD34" s="41">
        <f t="shared" ref="AD34:AD42" si="214">AA34+3*(AF34-AA34)/5</f>
        <v>0.23799999999999999</v>
      </c>
      <c r="AE34" s="41">
        <f t="shared" ref="AE34:AE42" si="215">AA34+4*(AF34-AA34)/5</f>
        <v>0.24399999999999999</v>
      </c>
      <c r="AF34" s="41">
        <v>0.25</v>
      </c>
      <c r="AG34" s="41">
        <f t="shared" ref="AG34:AG42" si="216">AF34+1*(AK34-AF34)/5</f>
        <v>0.25900000000000001</v>
      </c>
      <c r="AH34" s="41">
        <f t="shared" ref="AH34:AH42" si="217">AF34+2*(AK34-AF34)/5</f>
        <v>0.26800000000000002</v>
      </c>
      <c r="AI34" s="41">
        <f t="shared" ref="AI34:AI42" si="218">AF34+3*(AK34-AF34)/5</f>
        <v>0.27699999999999997</v>
      </c>
      <c r="AJ34" s="41">
        <f t="shared" ref="AJ34:AJ42" si="219">AF34+4*(AK34-AF34)/5</f>
        <v>0.28599999999999998</v>
      </c>
      <c r="AK34" s="41">
        <v>0.29499999999999998</v>
      </c>
      <c r="AL34" s="41">
        <f t="shared" ref="AL34:AL42" si="220">AK34+1*(AP34-AK34)/5</f>
        <v>0.30499999999999999</v>
      </c>
      <c r="AM34" s="41">
        <f t="shared" ref="AM34:AM42" si="221">AK34+2*(AP34-AK34)/5</f>
        <v>0.315</v>
      </c>
      <c r="AN34" s="41">
        <f t="shared" ref="AN34:AN42" si="222">AK34+3*(AP34-AK34)/5</f>
        <v>0.32499999999999996</v>
      </c>
      <c r="AO34" s="41">
        <f t="shared" ref="AO34:AO42" si="223">AK34+4*(AP34-AK34)/5</f>
        <v>0.33499999999999996</v>
      </c>
      <c r="AP34" s="41">
        <v>0.34499999999999997</v>
      </c>
      <c r="AQ34" s="41">
        <f t="shared" ref="AQ34:AQ42" si="224">AP34+1*(AU34-AP34)/5</f>
        <v>0.35599999999999998</v>
      </c>
      <c r="AR34" s="41">
        <f t="shared" ref="AR34:AR42" si="225">AP34+2*(AU34-AP34)/5</f>
        <v>0.36699999999999999</v>
      </c>
      <c r="AS34" s="41">
        <f t="shared" ref="AS34:AS42" si="226">AP34+3*(AU34-AP34)/5</f>
        <v>0.378</v>
      </c>
      <c r="AT34" s="41">
        <f t="shared" ref="AT34:AT42" si="227">AP34+4*(AU34-AP34)/5</f>
        <v>0.38900000000000001</v>
      </c>
      <c r="AU34" s="42">
        <v>0.4</v>
      </c>
    </row>
    <row r="35" spans="1:47" ht="20.25" customHeight="1" x14ac:dyDescent="0.2">
      <c r="A35" s="6">
        <v>18</v>
      </c>
      <c r="B35" s="41">
        <v>0.22</v>
      </c>
      <c r="C35" s="41">
        <f t="shared" si="192"/>
        <v>0.22800000000000001</v>
      </c>
      <c r="D35" s="41">
        <f t="shared" si="193"/>
        <v>0.23600000000000002</v>
      </c>
      <c r="E35" s="41">
        <f t="shared" si="194"/>
        <v>0.24399999999999999</v>
      </c>
      <c r="F35" s="41">
        <f t="shared" si="195"/>
        <v>0.252</v>
      </c>
      <c r="G35" s="41">
        <v>0.26</v>
      </c>
      <c r="H35" s="41">
        <f t="shared" si="196"/>
        <v>0.26800000000000002</v>
      </c>
      <c r="I35" s="41">
        <f t="shared" si="197"/>
        <v>0.27600000000000002</v>
      </c>
      <c r="J35" s="41">
        <f t="shared" si="198"/>
        <v>0.28399999999999997</v>
      </c>
      <c r="K35" s="41">
        <f t="shared" si="199"/>
        <v>0.29199999999999998</v>
      </c>
      <c r="L35" s="41">
        <v>0.3</v>
      </c>
      <c r="M35" s="41">
        <f t="shared" si="200"/>
        <v>0.308</v>
      </c>
      <c r="N35" s="41">
        <f t="shared" si="201"/>
        <v>0.316</v>
      </c>
      <c r="O35" s="41">
        <f t="shared" si="202"/>
        <v>0.32400000000000001</v>
      </c>
      <c r="P35" s="41">
        <f t="shared" si="203"/>
        <v>0.33200000000000002</v>
      </c>
      <c r="Q35" s="41">
        <v>0.34</v>
      </c>
      <c r="R35" s="41">
        <f t="shared" si="204"/>
        <v>0.34700000000000003</v>
      </c>
      <c r="S35" s="41">
        <f t="shared" si="205"/>
        <v>0.35400000000000004</v>
      </c>
      <c r="T35" s="41">
        <f t="shared" si="206"/>
        <v>0.36099999999999999</v>
      </c>
      <c r="U35" s="41">
        <f t="shared" si="207"/>
        <v>0.36799999999999999</v>
      </c>
      <c r="V35" s="41">
        <v>0.375</v>
      </c>
      <c r="W35" s="41">
        <f t="shared" si="208"/>
        <v>0.38800000000000001</v>
      </c>
      <c r="X35" s="41">
        <f t="shared" si="209"/>
        <v>0.40100000000000002</v>
      </c>
      <c r="Y35" s="41">
        <f t="shared" si="210"/>
        <v>0.41399999999999998</v>
      </c>
      <c r="Z35" s="41">
        <f t="shared" si="211"/>
        <v>0.42699999999999999</v>
      </c>
      <c r="AA35" s="41">
        <v>0.44</v>
      </c>
      <c r="AB35" s="41">
        <f t="shared" si="212"/>
        <v>0.45200000000000001</v>
      </c>
      <c r="AC35" s="41">
        <f t="shared" si="213"/>
        <v>0.46400000000000002</v>
      </c>
      <c r="AD35" s="41">
        <f t="shared" si="214"/>
        <v>0.47599999999999998</v>
      </c>
      <c r="AE35" s="41">
        <f t="shared" si="215"/>
        <v>0.48799999999999999</v>
      </c>
      <c r="AF35" s="41">
        <v>0.5</v>
      </c>
      <c r="AG35" s="41">
        <f t="shared" si="216"/>
        <v>0.51800000000000002</v>
      </c>
      <c r="AH35" s="41">
        <f t="shared" si="217"/>
        <v>0.53600000000000003</v>
      </c>
      <c r="AI35" s="41">
        <f t="shared" si="218"/>
        <v>0.55399999999999994</v>
      </c>
      <c r="AJ35" s="41">
        <f t="shared" si="219"/>
        <v>0.57199999999999995</v>
      </c>
      <c r="AK35" s="41">
        <v>0.59</v>
      </c>
      <c r="AL35" s="41">
        <f t="shared" si="220"/>
        <v>0.61199999999999999</v>
      </c>
      <c r="AM35" s="41">
        <f t="shared" si="221"/>
        <v>0.63400000000000001</v>
      </c>
      <c r="AN35" s="41">
        <f t="shared" si="222"/>
        <v>0.65599999999999992</v>
      </c>
      <c r="AO35" s="41">
        <f t="shared" si="223"/>
        <v>0.67799999999999994</v>
      </c>
      <c r="AP35" s="41">
        <v>0.7</v>
      </c>
      <c r="AQ35" s="41">
        <f t="shared" si="224"/>
        <v>0.72499999999999998</v>
      </c>
      <c r="AR35" s="41">
        <f t="shared" si="225"/>
        <v>0.75</v>
      </c>
      <c r="AS35" s="41">
        <f t="shared" si="226"/>
        <v>0.77499999999999991</v>
      </c>
      <c r="AT35" s="41">
        <f t="shared" si="227"/>
        <v>0.79999999999999993</v>
      </c>
      <c r="AU35" s="42">
        <v>0.82499999999999996</v>
      </c>
    </row>
    <row r="36" spans="1:47" ht="20.25" customHeight="1" x14ac:dyDescent="0.2">
      <c r="A36" s="6">
        <v>19</v>
      </c>
      <c r="B36" s="41">
        <v>0.34</v>
      </c>
      <c r="C36" s="41">
        <f t="shared" si="192"/>
        <v>0.34800000000000003</v>
      </c>
      <c r="D36" s="41">
        <f t="shared" si="193"/>
        <v>0.35600000000000004</v>
      </c>
      <c r="E36" s="41">
        <f t="shared" si="194"/>
        <v>0.36399999999999999</v>
      </c>
      <c r="F36" s="41">
        <f t="shared" si="195"/>
        <v>0.372</v>
      </c>
      <c r="G36" s="41">
        <v>0.38</v>
      </c>
      <c r="H36" s="41">
        <f t="shared" si="196"/>
        <v>0.38900000000000001</v>
      </c>
      <c r="I36" s="41">
        <f t="shared" si="197"/>
        <v>0.39800000000000002</v>
      </c>
      <c r="J36" s="41">
        <f t="shared" si="198"/>
        <v>0.40699999999999997</v>
      </c>
      <c r="K36" s="41">
        <f t="shared" si="199"/>
        <v>0.41599999999999998</v>
      </c>
      <c r="L36" s="41">
        <v>0.42499999999999999</v>
      </c>
      <c r="M36" s="41">
        <f t="shared" si="200"/>
        <v>0.435</v>
      </c>
      <c r="N36" s="41">
        <f t="shared" si="201"/>
        <v>0.44500000000000001</v>
      </c>
      <c r="O36" s="41">
        <f t="shared" si="202"/>
        <v>0.45499999999999996</v>
      </c>
      <c r="P36" s="41">
        <f t="shared" si="203"/>
        <v>0.46499999999999997</v>
      </c>
      <c r="Q36" s="41">
        <v>0.47499999999999998</v>
      </c>
      <c r="R36" s="41">
        <f t="shared" si="204"/>
        <v>0.48699999999999999</v>
      </c>
      <c r="S36" s="41">
        <f t="shared" si="205"/>
        <v>0.499</v>
      </c>
      <c r="T36" s="41">
        <f t="shared" si="206"/>
        <v>0.51100000000000001</v>
      </c>
      <c r="U36" s="41">
        <f t="shared" si="207"/>
        <v>0.52300000000000002</v>
      </c>
      <c r="V36" s="41">
        <v>0.53500000000000003</v>
      </c>
      <c r="W36" s="41">
        <f t="shared" si="208"/>
        <v>0.55000000000000004</v>
      </c>
      <c r="X36" s="41">
        <f t="shared" si="209"/>
        <v>0.56500000000000006</v>
      </c>
      <c r="Y36" s="41">
        <f t="shared" si="210"/>
        <v>0.57999999999999996</v>
      </c>
      <c r="Z36" s="41">
        <f t="shared" si="211"/>
        <v>0.59499999999999997</v>
      </c>
      <c r="AA36" s="41">
        <v>0.61</v>
      </c>
      <c r="AB36" s="41">
        <f t="shared" si="212"/>
        <v>0.627</v>
      </c>
      <c r="AC36" s="41">
        <f t="shared" si="213"/>
        <v>0.64400000000000002</v>
      </c>
      <c r="AD36" s="41">
        <f t="shared" si="214"/>
        <v>0.66099999999999992</v>
      </c>
      <c r="AE36" s="41">
        <f t="shared" si="215"/>
        <v>0.67799999999999994</v>
      </c>
      <c r="AF36" s="41">
        <v>0.69499999999999995</v>
      </c>
      <c r="AG36" s="41">
        <f t="shared" si="216"/>
        <v>0.71499999999999997</v>
      </c>
      <c r="AH36" s="41">
        <f t="shared" si="217"/>
        <v>0.73499999999999999</v>
      </c>
      <c r="AI36" s="41">
        <f t="shared" si="218"/>
        <v>0.755</v>
      </c>
      <c r="AJ36" s="41">
        <f t="shared" si="219"/>
        <v>0.77500000000000002</v>
      </c>
      <c r="AK36" s="41">
        <v>0.79500000000000004</v>
      </c>
      <c r="AL36" s="41">
        <f t="shared" si="220"/>
        <v>0.82000000000000006</v>
      </c>
      <c r="AM36" s="41">
        <f t="shared" si="221"/>
        <v>0.84500000000000008</v>
      </c>
      <c r="AN36" s="41">
        <f t="shared" si="222"/>
        <v>0.87</v>
      </c>
      <c r="AO36" s="41">
        <f t="shared" si="223"/>
        <v>0.89500000000000002</v>
      </c>
      <c r="AP36" s="41">
        <v>0.92</v>
      </c>
      <c r="AQ36" s="41">
        <f t="shared" si="224"/>
        <v>0.94800000000000006</v>
      </c>
      <c r="AR36" s="41">
        <f t="shared" si="225"/>
        <v>0.97600000000000009</v>
      </c>
      <c r="AS36" s="41">
        <f t="shared" si="226"/>
        <v>1.004</v>
      </c>
      <c r="AT36" s="41">
        <f t="shared" si="227"/>
        <v>1.032</v>
      </c>
      <c r="AU36" s="42">
        <v>1.06</v>
      </c>
    </row>
    <row r="37" spans="1:47" ht="20.25" customHeight="1" x14ac:dyDescent="0.2">
      <c r="A37" s="6">
        <v>20</v>
      </c>
      <c r="B37" s="41">
        <v>0.43</v>
      </c>
      <c r="C37" s="41">
        <f t="shared" si="192"/>
        <v>0.44400000000000001</v>
      </c>
      <c r="D37" s="41">
        <f t="shared" si="193"/>
        <v>0.45800000000000002</v>
      </c>
      <c r="E37" s="41">
        <f t="shared" si="194"/>
        <v>0.47199999999999998</v>
      </c>
      <c r="F37" s="41">
        <f t="shared" si="195"/>
        <v>0.48599999999999999</v>
      </c>
      <c r="G37" s="41">
        <v>0.5</v>
      </c>
      <c r="H37" s="41">
        <f t="shared" si="196"/>
        <v>0.51500000000000001</v>
      </c>
      <c r="I37" s="41">
        <f t="shared" si="197"/>
        <v>0.53</v>
      </c>
      <c r="J37" s="41">
        <f t="shared" si="198"/>
        <v>0.54499999999999993</v>
      </c>
      <c r="K37" s="41">
        <f t="shared" si="199"/>
        <v>0.55999999999999994</v>
      </c>
      <c r="L37" s="41">
        <v>0.57499999999999996</v>
      </c>
      <c r="M37" s="41">
        <f t="shared" si="200"/>
        <v>0.58699999999999997</v>
      </c>
      <c r="N37" s="41">
        <f t="shared" si="201"/>
        <v>0.59899999999999998</v>
      </c>
      <c r="O37" s="41">
        <f t="shared" si="202"/>
        <v>0.61099999999999999</v>
      </c>
      <c r="P37" s="41">
        <f t="shared" si="203"/>
        <v>0.623</v>
      </c>
      <c r="Q37" s="41">
        <v>0.63500000000000001</v>
      </c>
      <c r="R37" s="41">
        <f t="shared" si="204"/>
        <v>0.65300000000000002</v>
      </c>
      <c r="S37" s="41">
        <f t="shared" si="205"/>
        <v>0.67100000000000004</v>
      </c>
      <c r="T37" s="41">
        <f t="shared" si="206"/>
        <v>0.68899999999999995</v>
      </c>
      <c r="U37" s="41">
        <f t="shared" si="207"/>
        <v>0.70699999999999996</v>
      </c>
      <c r="V37" s="41">
        <v>0.72499999999999998</v>
      </c>
      <c r="W37" s="41">
        <f t="shared" si="208"/>
        <v>0.74199999999999999</v>
      </c>
      <c r="X37" s="41">
        <f t="shared" si="209"/>
        <v>0.75900000000000001</v>
      </c>
      <c r="Y37" s="41">
        <f t="shared" si="210"/>
        <v>0.77600000000000002</v>
      </c>
      <c r="Z37" s="41">
        <f t="shared" si="211"/>
        <v>0.79300000000000004</v>
      </c>
      <c r="AA37" s="41">
        <v>0.81</v>
      </c>
      <c r="AB37" s="41">
        <f t="shared" si="212"/>
        <v>0.83200000000000007</v>
      </c>
      <c r="AC37" s="41">
        <f t="shared" si="213"/>
        <v>0.85400000000000009</v>
      </c>
      <c r="AD37" s="41">
        <f t="shared" si="214"/>
        <v>0.876</v>
      </c>
      <c r="AE37" s="41">
        <f t="shared" si="215"/>
        <v>0.89800000000000002</v>
      </c>
      <c r="AF37" s="41">
        <v>0.92</v>
      </c>
      <c r="AG37" s="41">
        <f t="shared" si="216"/>
        <v>0.94300000000000006</v>
      </c>
      <c r="AH37" s="41">
        <f t="shared" si="217"/>
        <v>0.96599999999999997</v>
      </c>
      <c r="AI37" s="41">
        <f t="shared" si="218"/>
        <v>0.98899999999999999</v>
      </c>
      <c r="AJ37" s="41">
        <f t="shared" si="219"/>
        <v>1.012</v>
      </c>
      <c r="AK37" s="41">
        <v>1.0349999999999999</v>
      </c>
      <c r="AL37" s="41">
        <f t="shared" si="220"/>
        <v>1.0679999999999998</v>
      </c>
      <c r="AM37" s="41">
        <f t="shared" si="221"/>
        <v>1.101</v>
      </c>
      <c r="AN37" s="41">
        <f t="shared" si="222"/>
        <v>1.1339999999999999</v>
      </c>
      <c r="AO37" s="41">
        <f t="shared" si="223"/>
        <v>1.167</v>
      </c>
      <c r="AP37" s="41">
        <v>1.2</v>
      </c>
      <c r="AQ37" s="41">
        <f t="shared" si="224"/>
        <v>1.238</v>
      </c>
      <c r="AR37" s="41">
        <f t="shared" si="225"/>
        <v>1.276</v>
      </c>
      <c r="AS37" s="41">
        <f t="shared" si="226"/>
        <v>1.3139999999999998</v>
      </c>
      <c r="AT37" s="41">
        <f t="shared" si="227"/>
        <v>1.3519999999999999</v>
      </c>
      <c r="AU37" s="42">
        <v>1.39</v>
      </c>
    </row>
    <row r="38" spans="1:47" ht="20.25" customHeight="1" x14ac:dyDescent="0.2">
      <c r="A38" s="6">
        <v>21</v>
      </c>
      <c r="B38" s="55">
        <v>0.51500000000000001</v>
      </c>
      <c r="C38" s="41">
        <f t="shared" si="192"/>
        <v>0.53</v>
      </c>
      <c r="D38" s="41">
        <f t="shared" si="193"/>
        <v>0.54500000000000004</v>
      </c>
      <c r="E38" s="41">
        <f t="shared" si="194"/>
        <v>0.55999999999999994</v>
      </c>
      <c r="F38" s="41">
        <f t="shared" si="195"/>
        <v>0.57499999999999996</v>
      </c>
      <c r="G38" s="55">
        <v>0.59</v>
      </c>
      <c r="H38" s="41">
        <f t="shared" si="196"/>
        <v>0.60699999999999998</v>
      </c>
      <c r="I38" s="41">
        <f t="shared" si="197"/>
        <v>0.624</v>
      </c>
      <c r="J38" s="41">
        <f t="shared" si="198"/>
        <v>0.64100000000000001</v>
      </c>
      <c r="K38" s="41">
        <f t="shared" si="199"/>
        <v>0.65800000000000003</v>
      </c>
      <c r="L38" s="55">
        <v>0.67500000000000004</v>
      </c>
      <c r="M38" s="41">
        <f t="shared" si="200"/>
        <v>0.68700000000000006</v>
      </c>
      <c r="N38" s="41">
        <f t="shared" si="201"/>
        <v>0.69900000000000007</v>
      </c>
      <c r="O38" s="41">
        <f t="shared" si="202"/>
        <v>0.71099999999999997</v>
      </c>
      <c r="P38" s="41">
        <f t="shared" si="203"/>
        <v>0.72299999999999998</v>
      </c>
      <c r="Q38" s="55">
        <v>0.73499999999999999</v>
      </c>
      <c r="R38" s="41">
        <f t="shared" si="204"/>
        <v>0.755</v>
      </c>
      <c r="S38" s="41">
        <f t="shared" si="205"/>
        <v>0.77500000000000002</v>
      </c>
      <c r="T38" s="41">
        <f t="shared" si="206"/>
        <v>0.79499999999999993</v>
      </c>
      <c r="U38" s="41">
        <f t="shared" si="207"/>
        <v>0.81499999999999995</v>
      </c>
      <c r="V38" s="55">
        <v>0.83499999999999996</v>
      </c>
      <c r="W38" s="41">
        <f t="shared" si="208"/>
        <v>0.85699999999999998</v>
      </c>
      <c r="X38" s="41">
        <f t="shared" si="209"/>
        <v>0.879</v>
      </c>
      <c r="Y38" s="41">
        <f t="shared" si="210"/>
        <v>0.90099999999999991</v>
      </c>
      <c r="Z38" s="41">
        <f t="shared" si="211"/>
        <v>0.92299999999999993</v>
      </c>
      <c r="AA38" s="55">
        <v>0.94499999999999995</v>
      </c>
      <c r="AB38" s="41">
        <f t="shared" si="212"/>
        <v>0.96699999999999997</v>
      </c>
      <c r="AC38" s="41">
        <f t="shared" si="213"/>
        <v>0.98899999999999999</v>
      </c>
      <c r="AD38" s="41">
        <f t="shared" si="214"/>
        <v>1.0109999999999999</v>
      </c>
      <c r="AE38" s="41">
        <f t="shared" si="215"/>
        <v>1.0329999999999999</v>
      </c>
      <c r="AF38" s="55">
        <v>1.0549999999999999</v>
      </c>
      <c r="AG38" s="41">
        <f t="shared" si="216"/>
        <v>1.0859999999999999</v>
      </c>
      <c r="AH38" s="41">
        <f t="shared" si="217"/>
        <v>1.117</v>
      </c>
      <c r="AI38" s="41">
        <f t="shared" si="218"/>
        <v>1.1479999999999999</v>
      </c>
      <c r="AJ38" s="41">
        <f t="shared" si="219"/>
        <v>1.179</v>
      </c>
      <c r="AK38" s="55">
        <v>1.21</v>
      </c>
      <c r="AL38" s="41">
        <f t="shared" si="220"/>
        <v>1.242</v>
      </c>
      <c r="AM38" s="41">
        <f t="shared" si="221"/>
        <v>1.274</v>
      </c>
      <c r="AN38" s="41">
        <f t="shared" si="222"/>
        <v>1.306</v>
      </c>
      <c r="AO38" s="41">
        <f t="shared" si="223"/>
        <v>1.3380000000000001</v>
      </c>
      <c r="AP38" s="55">
        <v>1.37</v>
      </c>
      <c r="AQ38" s="41">
        <f t="shared" si="224"/>
        <v>1.4140000000000001</v>
      </c>
      <c r="AR38" s="41">
        <f t="shared" si="225"/>
        <v>1.4580000000000002</v>
      </c>
      <c r="AS38" s="41">
        <f t="shared" si="226"/>
        <v>1.502</v>
      </c>
      <c r="AT38" s="41">
        <f t="shared" si="227"/>
        <v>1.546</v>
      </c>
      <c r="AU38" s="56">
        <v>1.59</v>
      </c>
    </row>
    <row r="39" spans="1:47" ht="20.25" customHeight="1" x14ac:dyDescent="0.2">
      <c r="A39" s="6">
        <v>22</v>
      </c>
      <c r="B39" s="55">
        <v>0.59499999999999997</v>
      </c>
      <c r="C39" s="41">
        <f t="shared" si="192"/>
        <v>0.60899999999999999</v>
      </c>
      <c r="D39" s="41">
        <f t="shared" si="193"/>
        <v>0.623</v>
      </c>
      <c r="E39" s="41">
        <f t="shared" si="194"/>
        <v>0.63700000000000001</v>
      </c>
      <c r="F39" s="41">
        <f t="shared" si="195"/>
        <v>0.65100000000000002</v>
      </c>
      <c r="G39" s="55">
        <v>0.66500000000000004</v>
      </c>
      <c r="H39" s="41">
        <f t="shared" si="196"/>
        <v>0.68300000000000005</v>
      </c>
      <c r="I39" s="41">
        <f t="shared" si="197"/>
        <v>0.70100000000000007</v>
      </c>
      <c r="J39" s="41">
        <f t="shared" si="198"/>
        <v>0.71899999999999997</v>
      </c>
      <c r="K39" s="41">
        <f t="shared" si="199"/>
        <v>0.73699999999999999</v>
      </c>
      <c r="L39" s="55">
        <v>0.755</v>
      </c>
      <c r="M39" s="41">
        <f t="shared" si="200"/>
        <v>0.77200000000000002</v>
      </c>
      <c r="N39" s="41">
        <f t="shared" si="201"/>
        <v>0.78900000000000003</v>
      </c>
      <c r="O39" s="41">
        <f t="shared" si="202"/>
        <v>0.80599999999999994</v>
      </c>
      <c r="P39" s="41">
        <f t="shared" si="203"/>
        <v>0.82299999999999995</v>
      </c>
      <c r="Q39" s="55">
        <v>0.84</v>
      </c>
      <c r="R39" s="41">
        <f t="shared" si="204"/>
        <v>0.86199999999999999</v>
      </c>
      <c r="S39" s="41">
        <f t="shared" si="205"/>
        <v>0.88400000000000001</v>
      </c>
      <c r="T39" s="41">
        <f t="shared" si="206"/>
        <v>0.90599999999999992</v>
      </c>
      <c r="U39" s="41">
        <f t="shared" si="207"/>
        <v>0.92799999999999994</v>
      </c>
      <c r="V39" s="55">
        <v>0.95</v>
      </c>
      <c r="W39" s="41">
        <f t="shared" si="208"/>
        <v>0.97299999999999998</v>
      </c>
      <c r="X39" s="41">
        <f t="shared" si="209"/>
        <v>0.996</v>
      </c>
      <c r="Y39" s="41">
        <f t="shared" si="210"/>
        <v>1.0189999999999999</v>
      </c>
      <c r="Z39" s="41">
        <f t="shared" si="211"/>
        <v>1.042</v>
      </c>
      <c r="AA39" s="55">
        <v>1.0649999999999999</v>
      </c>
      <c r="AB39" s="41">
        <f t="shared" si="212"/>
        <v>1.093</v>
      </c>
      <c r="AC39" s="41">
        <f t="shared" si="213"/>
        <v>1.121</v>
      </c>
      <c r="AD39" s="41">
        <f t="shared" si="214"/>
        <v>1.149</v>
      </c>
      <c r="AE39" s="41">
        <f t="shared" si="215"/>
        <v>1.177</v>
      </c>
      <c r="AF39" s="55">
        <v>1.2050000000000001</v>
      </c>
      <c r="AG39" s="41">
        <f t="shared" si="216"/>
        <v>1.2410000000000001</v>
      </c>
      <c r="AH39" s="41">
        <f t="shared" si="217"/>
        <v>1.2770000000000001</v>
      </c>
      <c r="AI39" s="41">
        <f t="shared" si="218"/>
        <v>1.3129999999999999</v>
      </c>
      <c r="AJ39" s="41">
        <f t="shared" si="219"/>
        <v>1.349</v>
      </c>
      <c r="AK39" s="55">
        <v>1.385</v>
      </c>
      <c r="AL39" s="41">
        <f t="shared" si="220"/>
        <v>1.419</v>
      </c>
      <c r="AM39" s="41">
        <f t="shared" si="221"/>
        <v>1.4530000000000001</v>
      </c>
      <c r="AN39" s="41">
        <f t="shared" si="222"/>
        <v>1.4869999999999999</v>
      </c>
      <c r="AO39" s="41">
        <f t="shared" si="223"/>
        <v>1.5209999999999999</v>
      </c>
      <c r="AP39" s="55">
        <v>1.5549999999999999</v>
      </c>
      <c r="AQ39" s="41">
        <f t="shared" si="224"/>
        <v>1.6039999999999999</v>
      </c>
      <c r="AR39" s="41">
        <f t="shared" si="225"/>
        <v>1.653</v>
      </c>
      <c r="AS39" s="41">
        <f t="shared" si="226"/>
        <v>1.702</v>
      </c>
      <c r="AT39" s="41">
        <f t="shared" si="227"/>
        <v>1.7510000000000001</v>
      </c>
      <c r="AU39" s="56">
        <v>1.8</v>
      </c>
    </row>
    <row r="40" spans="1:47" ht="20.25" customHeight="1" x14ac:dyDescent="0.2">
      <c r="A40" s="6">
        <v>23</v>
      </c>
      <c r="B40" s="55">
        <v>0.66</v>
      </c>
      <c r="C40" s="41">
        <f t="shared" si="192"/>
        <v>0.67600000000000005</v>
      </c>
      <c r="D40" s="41">
        <f t="shared" si="193"/>
        <v>0.69200000000000006</v>
      </c>
      <c r="E40" s="41">
        <f t="shared" si="194"/>
        <v>0.70799999999999996</v>
      </c>
      <c r="F40" s="41">
        <f t="shared" si="195"/>
        <v>0.72399999999999998</v>
      </c>
      <c r="G40" s="55">
        <v>0.74</v>
      </c>
      <c r="H40" s="41">
        <f t="shared" si="196"/>
        <v>0.75800000000000001</v>
      </c>
      <c r="I40" s="41">
        <f t="shared" si="197"/>
        <v>0.77600000000000002</v>
      </c>
      <c r="J40" s="41">
        <f t="shared" si="198"/>
        <v>0.79399999999999993</v>
      </c>
      <c r="K40" s="41">
        <f t="shared" si="199"/>
        <v>0.81199999999999994</v>
      </c>
      <c r="L40" s="55">
        <v>0.83</v>
      </c>
      <c r="M40" s="41">
        <f t="shared" si="200"/>
        <v>0.84799999999999998</v>
      </c>
      <c r="N40" s="41">
        <f t="shared" si="201"/>
        <v>0.86599999999999999</v>
      </c>
      <c r="O40" s="41">
        <f t="shared" si="202"/>
        <v>0.88400000000000001</v>
      </c>
      <c r="P40" s="41">
        <f t="shared" si="203"/>
        <v>0.90200000000000002</v>
      </c>
      <c r="Q40" s="55">
        <v>0.92</v>
      </c>
      <c r="R40" s="41">
        <f t="shared" si="204"/>
        <v>0.94700000000000006</v>
      </c>
      <c r="S40" s="41">
        <f t="shared" si="205"/>
        <v>0.97399999999999998</v>
      </c>
      <c r="T40" s="41">
        <f t="shared" si="206"/>
        <v>1.0009999999999999</v>
      </c>
      <c r="U40" s="41">
        <f t="shared" si="207"/>
        <v>1.028</v>
      </c>
      <c r="V40" s="55">
        <v>1.0549999999999999</v>
      </c>
      <c r="W40" s="41">
        <f t="shared" si="208"/>
        <v>1.0799999999999998</v>
      </c>
      <c r="X40" s="41">
        <f t="shared" si="209"/>
        <v>1.105</v>
      </c>
      <c r="Y40" s="41">
        <f t="shared" si="210"/>
        <v>1.1299999999999999</v>
      </c>
      <c r="Z40" s="41">
        <f t="shared" si="211"/>
        <v>1.155</v>
      </c>
      <c r="AA40" s="55">
        <v>1.18</v>
      </c>
      <c r="AB40" s="41">
        <f t="shared" si="212"/>
        <v>1.21</v>
      </c>
      <c r="AC40" s="41">
        <f t="shared" si="213"/>
        <v>1.24</v>
      </c>
      <c r="AD40" s="41">
        <f t="shared" si="214"/>
        <v>1.27</v>
      </c>
      <c r="AE40" s="41">
        <f t="shared" si="215"/>
        <v>1.3</v>
      </c>
      <c r="AF40" s="55">
        <v>1.33</v>
      </c>
      <c r="AG40" s="41">
        <f t="shared" si="216"/>
        <v>1.369</v>
      </c>
      <c r="AH40" s="41">
        <f t="shared" si="217"/>
        <v>1.4079999999999999</v>
      </c>
      <c r="AI40" s="41">
        <f t="shared" si="218"/>
        <v>1.4470000000000001</v>
      </c>
      <c r="AJ40" s="41">
        <f t="shared" si="219"/>
        <v>1.486</v>
      </c>
      <c r="AK40" s="55">
        <v>1.5249999999999999</v>
      </c>
      <c r="AL40" s="41">
        <f t="shared" si="220"/>
        <v>1.5629999999999999</v>
      </c>
      <c r="AM40" s="41">
        <f t="shared" si="221"/>
        <v>1.601</v>
      </c>
      <c r="AN40" s="41">
        <f t="shared" si="222"/>
        <v>1.639</v>
      </c>
      <c r="AO40" s="41">
        <f t="shared" si="223"/>
        <v>1.677</v>
      </c>
      <c r="AP40" s="55">
        <v>1.7150000000000001</v>
      </c>
      <c r="AQ40" s="41">
        <f t="shared" si="224"/>
        <v>1.762</v>
      </c>
      <c r="AR40" s="41">
        <f t="shared" si="225"/>
        <v>1.8089999999999999</v>
      </c>
      <c r="AS40" s="41">
        <f t="shared" si="226"/>
        <v>1.8560000000000001</v>
      </c>
      <c r="AT40" s="41">
        <f t="shared" si="227"/>
        <v>1.903</v>
      </c>
      <c r="AU40" s="56">
        <v>1.95</v>
      </c>
    </row>
    <row r="41" spans="1:47" ht="20.25" customHeight="1" x14ac:dyDescent="0.2">
      <c r="A41" s="6">
        <v>24</v>
      </c>
      <c r="B41" s="55">
        <v>0.72499999999999998</v>
      </c>
      <c r="C41" s="41">
        <f t="shared" si="192"/>
        <v>0.74199999999999999</v>
      </c>
      <c r="D41" s="41">
        <f t="shared" si="193"/>
        <v>0.75900000000000001</v>
      </c>
      <c r="E41" s="41">
        <f t="shared" si="194"/>
        <v>0.77600000000000002</v>
      </c>
      <c r="F41" s="41">
        <f t="shared" si="195"/>
        <v>0.79300000000000004</v>
      </c>
      <c r="G41" s="55">
        <v>0.81</v>
      </c>
      <c r="H41" s="41">
        <f t="shared" si="196"/>
        <v>0.83000000000000007</v>
      </c>
      <c r="I41" s="41">
        <f t="shared" si="197"/>
        <v>0.85000000000000009</v>
      </c>
      <c r="J41" s="41">
        <f t="shared" si="198"/>
        <v>0.87</v>
      </c>
      <c r="K41" s="41">
        <f t="shared" si="199"/>
        <v>0.89</v>
      </c>
      <c r="L41" s="55">
        <v>0.91</v>
      </c>
      <c r="M41" s="41">
        <f t="shared" si="200"/>
        <v>0.93700000000000006</v>
      </c>
      <c r="N41" s="41">
        <f t="shared" si="201"/>
        <v>0.96399999999999997</v>
      </c>
      <c r="O41" s="41">
        <f t="shared" si="202"/>
        <v>0.99099999999999999</v>
      </c>
      <c r="P41" s="41">
        <f t="shared" si="203"/>
        <v>1.018</v>
      </c>
      <c r="Q41" s="55">
        <v>1.0449999999999999</v>
      </c>
      <c r="R41" s="41">
        <f t="shared" si="204"/>
        <v>1.0669999999999999</v>
      </c>
      <c r="S41" s="41">
        <f t="shared" si="205"/>
        <v>1.089</v>
      </c>
      <c r="T41" s="41">
        <f t="shared" si="206"/>
        <v>1.111</v>
      </c>
      <c r="U41" s="41">
        <f t="shared" si="207"/>
        <v>1.133</v>
      </c>
      <c r="V41" s="55">
        <v>1.155</v>
      </c>
      <c r="W41" s="41">
        <f t="shared" si="208"/>
        <v>1.18</v>
      </c>
      <c r="X41" s="41">
        <f t="shared" si="209"/>
        <v>1.2050000000000001</v>
      </c>
      <c r="Y41" s="41">
        <f t="shared" si="210"/>
        <v>1.23</v>
      </c>
      <c r="Z41" s="41">
        <f t="shared" si="211"/>
        <v>1.2550000000000001</v>
      </c>
      <c r="AA41" s="55">
        <v>1.28</v>
      </c>
      <c r="AB41" s="41">
        <f t="shared" si="212"/>
        <v>1.3140000000000001</v>
      </c>
      <c r="AC41" s="41">
        <f t="shared" si="213"/>
        <v>1.3480000000000001</v>
      </c>
      <c r="AD41" s="41">
        <f t="shared" si="214"/>
        <v>1.3819999999999999</v>
      </c>
      <c r="AE41" s="41">
        <f t="shared" si="215"/>
        <v>1.4159999999999999</v>
      </c>
      <c r="AF41" s="55">
        <v>1.45</v>
      </c>
      <c r="AG41" s="41">
        <f t="shared" si="216"/>
        <v>1.488</v>
      </c>
      <c r="AH41" s="41">
        <f t="shared" si="217"/>
        <v>1.526</v>
      </c>
      <c r="AI41" s="41">
        <f t="shared" si="218"/>
        <v>1.5639999999999998</v>
      </c>
      <c r="AJ41" s="41">
        <f t="shared" si="219"/>
        <v>1.6019999999999999</v>
      </c>
      <c r="AK41" s="55">
        <v>1.64</v>
      </c>
      <c r="AL41" s="41">
        <f t="shared" si="220"/>
        <v>1.6839999999999999</v>
      </c>
      <c r="AM41" s="41">
        <f t="shared" si="221"/>
        <v>1.728</v>
      </c>
      <c r="AN41" s="41">
        <f t="shared" si="222"/>
        <v>1.772</v>
      </c>
      <c r="AO41" s="41">
        <f t="shared" si="223"/>
        <v>1.8160000000000001</v>
      </c>
      <c r="AP41" s="55">
        <v>1.86</v>
      </c>
      <c r="AQ41" s="41">
        <f t="shared" si="224"/>
        <v>1.909</v>
      </c>
      <c r="AR41" s="41">
        <f t="shared" si="225"/>
        <v>1.958</v>
      </c>
      <c r="AS41" s="41">
        <f t="shared" si="226"/>
        <v>2.0070000000000001</v>
      </c>
      <c r="AT41" s="41">
        <f t="shared" si="227"/>
        <v>2.056</v>
      </c>
      <c r="AU41" s="56">
        <v>2.105</v>
      </c>
    </row>
    <row r="42" spans="1:47" ht="20.25" customHeight="1" x14ac:dyDescent="0.2">
      <c r="A42" s="6">
        <v>25</v>
      </c>
      <c r="B42" s="55">
        <v>0.79500000000000004</v>
      </c>
      <c r="C42" s="41">
        <f t="shared" si="192"/>
        <v>0.81300000000000006</v>
      </c>
      <c r="D42" s="41">
        <f t="shared" si="193"/>
        <v>0.83100000000000007</v>
      </c>
      <c r="E42" s="41">
        <f t="shared" si="194"/>
        <v>0.84899999999999998</v>
      </c>
      <c r="F42" s="41">
        <f t="shared" si="195"/>
        <v>0.86699999999999999</v>
      </c>
      <c r="G42" s="55">
        <v>0.88500000000000001</v>
      </c>
      <c r="H42" s="41">
        <f t="shared" si="196"/>
        <v>0.90600000000000003</v>
      </c>
      <c r="I42" s="41">
        <f t="shared" si="197"/>
        <v>0.92700000000000005</v>
      </c>
      <c r="J42" s="41">
        <f t="shared" si="198"/>
        <v>0.94799999999999995</v>
      </c>
      <c r="K42" s="41">
        <f t="shared" si="199"/>
        <v>0.96899999999999997</v>
      </c>
      <c r="L42" s="55">
        <v>0.99</v>
      </c>
      <c r="M42" s="41">
        <f t="shared" si="200"/>
        <v>1.016</v>
      </c>
      <c r="N42" s="41">
        <f t="shared" si="201"/>
        <v>1.042</v>
      </c>
      <c r="O42" s="41">
        <f t="shared" si="202"/>
        <v>1.0680000000000001</v>
      </c>
      <c r="P42" s="41">
        <f t="shared" si="203"/>
        <v>1.0940000000000001</v>
      </c>
      <c r="Q42" s="55">
        <v>1.1200000000000001</v>
      </c>
      <c r="R42" s="41">
        <f t="shared" si="204"/>
        <v>1.145</v>
      </c>
      <c r="S42" s="41">
        <f t="shared" si="205"/>
        <v>1.1700000000000002</v>
      </c>
      <c r="T42" s="41">
        <f t="shared" si="206"/>
        <v>1.1950000000000001</v>
      </c>
      <c r="U42" s="41">
        <f t="shared" si="207"/>
        <v>1.2200000000000002</v>
      </c>
      <c r="V42" s="55">
        <v>1.2450000000000001</v>
      </c>
      <c r="W42" s="41">
        <f t="shared" si="208"/>
        <v>1.272</v>
      </c>
      <c r="X42" s="41">
        <f t="shared" si="209"/>
        <v>1.2989999999999999</v>
      </c>
      <c r="Y42" s="41">
        <f t="shared" si="210"/>
        <v>1.3260000000000001</v>
      </c>
      <c r="Z42" s="41">
        <f t="shared" si="211"/>
        <v>1.353</v>
      </c>
      <c r="AA42" s="55">
        <v>1.38</v>
      </c>
      <c r="AB42" s="41">
        <f t="shared" si="212"/>
        <v>1.4139999999999999</v>
      </c>
      <c r="AC42" s="41">
        <f t="shared" si="213"/>
        <v>1.448</v>
      </c>
      <c r="AD42" s="41">
        <f t="shared" si="214"/>
        <v>1.482</v>
      </c>
      <c r="AE42" s="41">
        <f t="shared" si="215"/>
        <v>1.516</v>
      </c>
      <c r="AF42" s="55">
        <v>1.55</v>
      </c>
      <c r="AG42" s="41">
        <f t="shared" si="216"/>
        <v>1.59</v>
      </c>
      <c r="AH42" s="41">
        <f t="shared" si="217"/>
        <v>1.6300000000000001</v>
      </c>
      <c r="AI42" s="41">
        <f t="shared" si="218"/>
        <v>1.67</v>
      </c>
      <c r="AJ42" s="41">
        <f t="shared" si="219"/>
        <v>1.71</v>
      </c>
      <c r="AK42" s="55">
        <v>1.75</v>
      </c>
      <c r="AL42" s="41">
        <f t="shared" si="220"/>
        <v>1.798</v>
      </c>
      <c r="AM42" s="41">
        <f t="shared" si="221"/>
        <v>1.8460000000000001</v>
      </c>
      <c r="AN42" s="41">
        <f t="shared" si="222"/>
        <v>1.8939999999999999</v>
      </c>
      <c r="AO42" s="41">
        <f t="shared" si="223"/>
        <v>1.9419999999999999</v>
      </c>
      <c r="AP42" s="55">
        <v>1.99</v>
      </c>
      <c r="AQ42" s="41">
        <f t="shared" si="224"/>
        <v>2.0463999999999998</v>
      </c>
      <c r="AR42" s="41">
        <f t="shared" si="225"/>
        <v>2.1027999999999998</v>
      </c>
      <c r="AS42" s="41">
        <f t="shared" si="226"/>
        <v>2.1591999999999998</v>
      </c>
      <c r="AT42" s="41">
        <f t="shared" si="227"/>
        <v>2.2155999999999998</v>
      </c>
      <c r="AU42" s="56">
        <v>2.2719999999999998</v>
      </c>
    </row>
    <row r="43" spans="1:47" ht="20.25" customHeight="1" thickBot="1" x14ac:dyDescent="0.25">
      <c r="A43" s="7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21"/>
    </row>
    <row r="44" spans="1:47" ht="20.25" customHeight="1" thickTop="1" thickBot="1" x14ac:dyDescent="0.25"/>
    <row r="45" spans="1:47" ht="35.1" customHeight="1" thickTop="1" thickBot="1" x14ac:dyDescent="0.25">
      <c r="A45" s="18" t="s">
        <v>37</v>
      </c>
      <c r="B45" s="44" t="s">
        <v>38</v>
      </c>
      <c r="C45" s="44" t="s">
        <v>38</v>
      </c>
      <c r="D45" s="44" t="s">
        <v>38</v>
      </c>
      <c r="E45" s="44" t="s">
        <v>38</v>
      </c>
      <c r="F45" s="44" t="s">
        <v>38</v>
      </c>
      <c r="G45" s="44" t="s">
        <v>38</v>
      </c>
      <c r="H45" s="44" t="s">
        <v>38</v>
      </c>
      <c r="I45" s="44" t="s">
        <v>38</v>
      </c>
      <c r="J45" s="44" t="s">
        <v>38</v>
      </c>
      <c r="K45" s="44" t="s">
        <v>38</v>
      </c>
      <c r="L45" s="44" t="s">
        <v>38</v>
      </c>
      <c r="M45" s="44" t="s">
        <v>38</v>
      </c>
      <c r="N45" s="44" t="s">
        <v>38</v>
      </c>
      <c r="O45" s="44" t="s">
        <v>38</v>
      </c>
      <c r="P45" s="44" t="s">
        <v>38</v>
      </c>
      <c r="Q45" s="44" t="s">
        <v>38</v>
      </c>
      <c r="R45" s="44" t="s">
        <v>38</v>
      </c>
      <c r="S45" s="44" t="s">
        <v>38</v>
      </c>
      <c r="T45" s="44" t="s">
        <v>38</v>
      </c>
      <c r="U45" s="44" t="s">
        <v>38</v>
      </c>
      <c r="V45" s="44" t="s">
        <v>38</v>
      </c>
      <c r="W45" s="44" t="s">
        <v>38</v>
      </c>
      <c r="X45" s="44" t="s">
        <v>38</v>
      </c>
      <c r="Y45" s="44" t="s">
        <v>38</v>
      </c>
      <c r="Z45" s="44" t="s">
        <v>38</v>
      </c>
      <c r="AA45" s="44" t="s">
        <v>38</v>
      </c>
      <c r="AB45" s="44" t="s">
        <v>38</v>
      </c>
      <c r="AC45" s="44" t="s">
        <v>38</v>
      </c>
      <c r="AD45" s="44" t="s">
        <v>38</v>
      </c>
      <c r="AE45" s="44" t="s">
        <v>38</v>
      </c>
      <c r="AF45" s="44" t="s">
        <v>38</v>
      </c>
      <c r="AG45" s="44" t="s">
        <v>38</v>
      </c>
      <c r="AH45" s="44" t="s">
        <v>38</v>
      </c>
      <c r="AI45" s="44" t="s">
        <v>38</v>
      </c>
      <c r="AJ45" s="44" t="s">
        <v>38</v>
      </c>
      <c r="AK45" s="44" t="s">
        <v>38</v>
      </c>
      <c r="AL45" s="44" t="s">
        <v>38</v>
      </c>
      <c r="AM45" s="44" t="s">
        <v>38</v>
      </c>
      <c r="AN45" s="44" t="s">
        <v>38</v>
      </c>
      <c r="AO45" s="44" t="s">
        <v>38</v>
      </c>
      <c r="AP45" s="44" t="s">
        <v>38</v>
      </c>
      <c r="AQ45" s="44" t="s">
        <v>38</v>
      </c>
      <c r="AR45" s="44" t="s">
        <v>38</v>
      </c>
      <c r="AS45" s="44" t="s">
        <v>38</v>
      </c>
      <c r="AT45" s="44" t="s">
        <v>38</v>
      </c>
      <c r="AU45" s="45" t="s">
        <v>38</v>
      </c>
    </row>
    <row r="46" spans="1:47" ht="20.25" customHeight="1" thickTop="1" x14ac:dyDescent="0.2">
      <c r="A46" s="15" t="s">
        <v>133</v>
      </c>
      <c r="B46" s="41">
        <v>90</v>
      </c>
      <c r="C46" s="41">
        <v>91</v>
      </c>
      <c r="D46" s="41">
        <v>92</v>
      </c>
      <c r="E46" s="41">
        <v>93</v>
      </c>
      <c r="F46" s="41">
        <v>94</v>
      </c>
      <c r="G46" s="41">
        <v>95</v>
      </c>
      <c r="H46" s="41">
        <v>96</v>
      </c>
      <c r="I46" s="41">
        <v>97</v>
      </c>
      <c r="J46" s="41">
        <v>98</v>
      </c>
      <c r="K46" s="41">
        <v>99</v>
      </c>
      <c r="L46" s="41">
        <v>100</v>
      </c>
      <c r="M46" s="41">
        <v>101</v>
      </c>
      <c r="N46" s="41">
        <v>102</v>
      </c>
      <c r="O46" s="41">
        <v>103</v>
      </c>
      <c r="P46" s="41">
        <v>104</v>
      </c>
      <c r="Q46" s="41">
        <v>105</v>
      </c>
      <c r="R46" s="41">
        <v>106</v>
      </c>
      <c r="S46" s="41">
        <v>107</v>
      </c>
      <c r="T46" s="41">
        <v>108</v>
      </c>
      <c r="U46" s="41">
        <v>109</v>
      </c>
      <c r="V46" s="41">
        <v>110</v>
      </c>
      <c r="W46" s="41">
        <v>111</v>
      </c>
      <c r="X46" s="41">
        <v>112</v>
      </c>
      <c r="Y46" s="41">
        <v>113</v>
      </c>
      <c r="Z46" s="41">
        <v>114</v>
      </c>
      <c r="AA46" s="41">
        <v>115</v>
      </c>
      <c r="AB46" s="41">
        <v>116</v>
      </c>
      <c r="AC46" s="41">
        <v>117</v>
      </c>
      <c r="AD46" s="41">
        <v>118</v>
      </c>
      <c r="AE46" s="41">
        <v>119</v>
      </c>
      <c r="AF46" s="41">
        <v>120</v>
      </c>
      <c r="AG46" s="41">
        <v>121</v>
      </c>
      <c r="AH46" s="41">
        <v>122</v>
      </c>
      <c r="AI46" s="41">
        <v>123</v>
      </c>
      <c r="AJ46" s="41">
        <v>124</v>
      </c>
      <c r="AK46" s="41">
        <v>125</v>
      </c>
      <c r="AL46" s="41">
        <v>126</v>
      </c>
      <c r="AM46" s="41">
        <v>127</v>
      </c>
      <c r="AN46" s="41">
        <v>128</v>
      </c>
      <c r="AO46" s="41">
        <v>129</v>
      </c>
      <c r="AP46" s="41">
        <v>130</v>
      </c>
      <c r="AQ46" s="41">
        <v>131</v>
      </c>
      <c r="AR46" s="41">
        <v>132</v>
      </c>
      <c r="AS46" s="41">
        <v>133</v>
      </c>
      <c r="AT46" s="41">
        <v>134</v>
      </c>
      <c r="AU46" s="57">
        <v>135</v>
      </c>
    </row>
    <row r="47" spans="1:47" ht="20.25" customHeight="1" x14ac:dyDescent="0.2">
      <c r="A47" s="15" t="s">
        <v>20</v>
      </c>
      <c r="B47" s="41">
        <f>B46-273.15</f>
        <v>-183.14999999999998</v>
      </c>
      <c r="C47" s="41">
        <f t="shared" ref="C47:AU47" si="228">C46-273.15</f>
        <v>-182.14999999999998</v>
      </c>
      <c r="D47" s="41">
        <f t="shared" si="228"/>
        <v>-181.14999999999998</v>
      </c>
      <c r="E47" s="41">
        <f t="shared" si="228"/>
        <v>-180.14999999999998</v>
      </c>
      <c r="F47" s="41">
        <f t="shared" si="228"/>
        <v>-179.14999999999998</v>
      </c>
      <c r="G47" s="41">
        <f t="shared" si="228"/>
        <v>-178.14999999999998</v>
      </c>
      <c r="H47" s="41">
        <f t="shared" si="228"/>
        <v>-177.14999999999998</v>
      </c>
      <c r="I47" s="41">
        <f t="shared" si="228"/>
        <v>-176.14999999999998</v>
      </c>
      <c r="J47" s="41">
        <f t="shared" si="228"/>
        <v>-175.14999999999998</v>
      </c>
      <c r="K47" s="41">
        <f t="shared" si="228"/>
        <v>-174.14999999999998</v>
      </c>
      <c r="L47" s="41">
        <f t="shared" si="228"/>
        <v>-173.14999999999998</v>
      </c>
      <c r="M47" s="41">
        <f t="shared" si="228"/>
        <v>-172.14999999999998</v>
      </c>
      <c r="N47" s="41">
        <f t="shared" si="228"/>
        <v>-171.14999999999998</v>
      </c>
      <c r="O47" s="41">
        <f t="shared" si="228"/>
        <v>-170.14999999999998</v>
      </c>
      <c r="P47" s="41">
        <f t="shared" si="228"/>
        <v>-169.14999999999998</v>
      </c>
      <c r="Q47" s="41">
        <f t="shared" si="228"/>
        <v>-168.14999999999998</v>
      </c>
      <c r="R47" s="41">
        <f t="shared" si="228"/>
        <v>-167.14999999999998</v>
      </c>
      <c r="S47" s="41">
        <f t="shared" si="228"/>
        <v>-166.14999999999998</v>
      </c>
      <c r="T47" s="41">
        <f t="shared" si="228"/>
        <v>-165.14999999999998</v>
      </c>
      <c r="U47" s="41">
        <f t="shared" si="228"/>
        <v>-164.14999999999998</v>
      </c>
      <c r="V47" s="41">
        <f t="shared" si="228"/>
        <v>-163.14999999999998</v>
      </c>
      <c r="W47" s="41">
        <f t="shared" si="228"/>
        <v>-162.14999999999998</v>
      </c>
      <c r="X47" s="41">
        <f t="shared" si="228"/>
        <v>-161.14999999999998</v>
      </c>
      <c r="Y47" s="41">
        <f t="shared" si="228"/>
        <v>-160.14999999999998</v>
      </c>
      <c r="Z47" s="41">
        <f t="shared" si="228"/>
        <v>-159.14999999999998</v>
      </c>
      <c r="AA47" s="41">
        <f t="shared" si="228"/>
        <v>-158.14999999999998</v>
      </c>
      <c r="AB47" s="41">
        <f t="shared" si="228"/>
        <v>-157.14999999999998</v>
      </c>
      <c r="AC47" s="41">
        <f t="shared" si="228"/>
        <v>-156.14999999999998</v>
      </c>
      <c r="AD47" s="41">
        <f t="shared" si="228"/>
        <v>-155.14999999999998</v>
      </c>
      <c r="AE47" s="41">
        <f t="shared" si="228"/>
        <v>-154.14999999999998</v>
      </c>
      <c r="AF47" s="41">
        <f t="shared" si="228"/>
        <v>-153.14999999999998</v>
      </c>
      <c r="AG47" s="41">
        <f t="shared" si="228"/>
        <v>-152.14999999999998</v>
      </c>
      <c r="AH47" s="41">
        <f t="shared" si="228"/>
        <v>-151.14999999999998</v>
      </c>
      <c r="AI47" s="41">
        <f t="shared" si="228"/>
        <v>-150.14999999999998</v>
      </c>
      <c r="AJ47" s="41">
        <f t="shared" si="228"/>
        <v>-149.14999999999998</v>
      </c>
      <c r="AK47" s="41">
        <f t="shared" si="228"/>
        <v>-148.14999999999998</v>
      </c>
      <c r="AL47" s="41">
        <f t="shared" si="228"/>
        <v>-147.14999999999998</v>
      </c>
      <c r="AM47" s="41">
        <f t="shared" si="228"/>
        <v>-146.14999999999998</v>
      </c>
      <c r="AN47" s="41">
        <f t="shared" si="228"/>
        <v>-145.14999999999998</v>
      </c>
      <c r="AO47" s="41">
        <f t="shared" si="228"/>
        <v>-144.14999999999998</v>
      </c>
      <c r="AP47" s="41">
        <f t="shared" si="228"/>
        <v>-143.14999999999998</v>
      </c>
      <c r="AQ47" s="41">
        <f t="shared" si="228"/>
        <v>-142.14999999999998</v>
      </c>
      <c r="AR47" s="41">
        <f t="shared" si="228"/>
        <v>-141.14999999999998</v>
      </c>
      <c r="AS47" s="41">
        <f t="shared" si="228"/>
        <v>-140.14999999999998</v>
      </c>
      <c r="AT47" s="41">
        <f t="shared" si="228"/>
        <v>-139.14999999999998</v>
      </c>
      <c r="AU47" s="42">
        <f t="shared" si="228"/>
        <v>-138.14999999999998</v>
      </c>
    </row>
    <row r="48" spans="1:47" ht="20.25" customHeight="1" x14ac:dyDescent="0.2">
      <c r="A48" s="6">
        <v>16</v>
      </c>
      <c r="B48" s="41">
        <v>-4.0000000000000001E-3</v>
      </c>
      <c r="C48" s="41">
        <f>B48+1*(G48-B48)/5</f>
        <v>-4.1999999999999997E-3</v>
      </c>
      <c r="D48" s="41">
        <f>B48+2*(G48-B48)/5</f>
        <v>-4.4000000000000003E-3</v>
      </c>
      <c r="E48" s="41">
        <f>B48+3*(G48-B48)/5</f>
        <v>-4.5999999999999999E-3</v>
      </c>
      <c r="F48" s="41">
        <f>B48+4*(G48-B48)/5</f>
        <v>-4.8000000000000004E-3</v>
      </c>
      <c r="G48" s="41">
        <v>-5.0000000000000001E-3</v>
      </c>
      <c r="H48" s="41">
        <f>G48+1*(L48-G48)/5</f>
        <v>-5.4000000000000003E-3</v>
      </c>
      <c r="I48" s="41">
        <f>G48+2*(L48-G48)/5</f>
        <v>-5.8000000000000005E-3</v>
      </c>
      <c r="J48" s="41">
        <f>G48+3*(L48-G48)/5</f>
        <v>-6.2000000000000006E-3</v>
      </c>
      <c r="K48" s="41">
        <f>G48+4*(L48-G48)/5</f>
        <v>-6.6E-3</v>
      </c>
      <c r="L48" s="41">
        <v>-7.0000000000000001E-3</v>
      </c>
      <c r="M48" s="41">
        <f>L48+1*(Q48-L48)/5</f>
        <v>-7.6E-3</v>
      </c>
      <c r="N48" s="41">
        <f>L48+2*(Q48-L48)/5</f>
        <v>-8.2000000000000007E-3</v>
      </c>
      <c r="O48" s="41">
        <f>L48+3*(Q48-L48)/5</f>
        <v>-8.8000000000000005E-3</v>
      </c>
      <c r="P48" s="41">
        <f>L48+4*(Q48-L48)/5</f>
        <v>-9.4000000000000004E-3</v>
      </c>
      <c r="Q48" s="41">
        <v>-0.01</v>
      </c>
      <c r="R48" s="41">
        <f>Q48+1*(V48-Q48)/5</f>
        <v>-1.0999999999999999E-2</v>
      </c>
      <c r="S48" s="41">
        <f>Q48+2*(V48-Q48)/5</f>
        <v>-1.2E-2</v>
      </c>
      <c r="T48" s="41">
        <f>Q48+3*(V48-Q48)/5</f>
        <v>-1.2999999999999999E-2</v>
      </c>
      <c r="U48" s="41">
        <f>Q48+4*(V48-Q48)/5</f>
        <v>-1.3999999999999999E-2</v>
      </c>
      <c r="V48" s="41">
        <v>-1.4999999999999999E-2</v>
      </c>
      <c r="W48" s="41">
        <f>V48+1*(AA48-V48)/5</f>
        <v>-1.6799999999999999E-2</v>
      </c>
      <c r="X48" s="41">
        <f>V48+2*(AA48-V48)/5</f>
        <v>-1.8599999999999998E-2</v>
      </c>
      <c r="Y48" s="41">
        <f>V48+3*(AA48-V48)/5</f>
        <v>-2.0400000000000001E-2</v>
      </c>
      <c r="Z48" s="41">
        <f>V48+4*(AA48-V48)/5</f>
        <v>-2.2200000000000001E-2</v>
      </c>
      <c r="AA48" s="41">
        <v>-2.4E-2</v>
      </c>
      <c r="AB48" s="41">
        <f>AA48+1*(AF48-AA48)/5</f>
        <v>-2.5600000000000001E-2</v>
      </c>
      <c r="AC48" s="41">
        <f>AA48+2*(AF48-AA48)/5</f>
        <v>-2.7200000000000002E-2</v>
      </c>
      <c r="AD48" s="41">
        <f>AA48+3*(AF48-AA48)/5</f>
        <v>-2.8799999999999999E-2</v>
      </c>
      <c r="AE48" s="41">
        <f>AA48+4*(AF48-AA48)/5</f>
        <v>-3.04E-2</v>
      </c>
      <c r="AF48" s="41">
        <v>-3.2000000000000001E-2</v>
      </c>
      <c r="AG48" s="41">
        <f>AF48+1*(AK48-AF48)/5</f>
        <v>-3.4200000000000001E-2</v>
      </c>
      <c r="AH48" s="41">
        <f>AF48+2*(AK48-AF48)/5</f>
        <v>-3.6400000000000002E-2</v>
      </c>
      <c r="AI48" s="41">
        <f>AF48+3*(AK48-AF48)/5</f>
        <v>-3.8599999999999995E-2</v>
      </c>
      <c r="AJ48" s="41">
        <f>AF48+4*(AK48-AF48)/5</f>
        <v>-4.0799999999999996E-2</v>
      </c>
      <c r="AK48" s="41">
        <v>-4.2999999999999997E-2</v>
      </c>
      <c r="AL48" s="41">
        <f>AK48+1*(AP48-AK48)/5</f>
        <v>-4.5999999999999999E-2</v>
      </c>
      <c r="AM48" s="41">
        <f>AK48+2*(AP48-AK48)/5</f>
        <v>-4.9000000000000002E-2</v>
      </c>
      <c r="AN48" s="41">
        <f>AK48+3*(AP48-AK48)/5</f>
        <v>-5.2000000000000005E-2</v>
      </c>
      <c r="AO48" s="41">
        <f>AK48+4*(AP48-AK48)/5</f>
        <v>-5.5E-2</v>
      </c>
      <c r="AP48" s="41">
        <v>-5.8000000000000003E-2</v>
      </c>
      <c r="AQ48" s="41">
        <f>AP48+1*(AU48-AP48)/5</f>
        <v>-6.1400000000000003E-2</v>
      </c>
      <c r="AR48" s="41">
        <f>AP48+2*(AU48-AP48)/5</f>
        <v>-6.4799999999999996E-2</v>
      </c>
      <c r="AS48" s="41">
        <f>AP48+3*(AU48-AP48)/5</f>
        <v>-6.8199999999999997E-2</v>
      </c>
      <c r="AT48" s="41">
        <f>AP48+4*(AU48-AP48)/5</f>
        <v>-7.1599999999999997E-2</v>
      </c>
      <c r="AU48" s="42">
        <v>-7.4999999999999997E-2</v>
      </c>
    </row>
    <row r="49" spans="1:47" ht="20.25" customHeight="1" x14ac:dyDescent="0.2">
      <c r="A49" s="6">
        <v>17</v>
      </c>
      <c r="B49" s="41">
        <v>0.1</v>
      </c>
      <c r="C49" s="41">
        <f t="shared" ref="C49:C57" si="229">B49+1*(G49-B49)/5</f>
        <v>0.10400000000000001</v>
      </c>
      <c r="D49" s="41">
        <f t="shared" ref="D49:D57" si="230">B49+2*(G49-B49)/5</f>
        <v>0.108</v>
      </c>
      <c r="E49" s="41">
        <f t="shared" ref="E49:E57" si="231">B49+3*(G49-B49)/5</f>
        <v>0.112</v>
      </c>
      <c r="F49" s="41">
        <f t="shared" ref="F49:F57" si="232">B49+4*(G49-B49)/5</f>
        <v>0.11599999999999999</v>
      </c>
      <c r="G49" s="41">
        <v>0.12</v>
      </c>
      <c r="H49" s="41">
        <f t="shared" ref="H49:H57" si="233">G49+1*(L49-G49)/5</f>
        <v>0.128</v>
      </c>
      <c r="I49" s="41">
        <f t="shared" ref="I49:I57" si="234">G49+2*(L49-G49)/5</f>
        <v>0.13600000000000001</v>
      </c>
      <c r="J49" s="41">
        <f t="shared" ref="J49:J57" si="235">G49+3*(L49-G49)/5</f>
        <v>0.14399999999999999</v>
      </c>
      <c r="K49" s="41">
        <f t="shared" ref="K49:K57" si="236">G49+4*(L49-G49)/5</f>
        <v>0.152</v>
      </c>
      <c r="L49" s="41">
        <v>0.16</v>
      </c>
      <c r="M49" s="41">
        <f t="shared" ref="M49:M57" si="237">L49+1*(Q49-L49)/5</f>
        <v>0.17599999999999999</v>
      </c>
      <c r="N49" s="41">
        <f t="shared" ref="N49:N57" si="238">L49+2*(Q49-L49)/5</f>
        <v>0.192</v>
      </c>
      <c r="O49" s="41">
        <f t="shared" ref="O49:O57" si="239">L49+3*(Q49-L49)/5</f>
        <v>0.20799999999999999</v>
      </c>
      <c r="P49" s="41">
        <f t="shared" ref="P49:P57" si="240">L49+4*(Q49-L49)/5</f>
        <v>0.22399999999999998</v>
      </c>
      <c r="Q49" s="41">
        <v>0.24</v>
      </c>
      <c r="R49" s="41">
        <f t="shared" ref="R49:R57" si="241">Q49+1*(V49-Q49)/5</f>
        <v>0.25600000000000001</v>
      </c>
      <c r="S49" s="41">
        <f t="shared" ref="S49:S57" si="242">Q49+2*(V49-Q49)/5</f>
        <v>0.27200000000000002</v>
      </c>
      <c r="T49" s="41">
        <f t="shared" ref="T49:T57" si="243">Q49+3*(V49-Q49)/5</f>
        <v>0.28799999999999998</v>
      </c>
      <c r="U49" s="41">
        <f t="shared" ref="U49:U57" si="244">Q49+4*(V49-Q49)/5</f>
        <v>0.30399999999999999</v>
      </c>
      <c r="V49" s="41">
        <v>0.32</v>
      </c>
      <c r="W49" s="41">
        <f t="shared" ref="W49:W57" si="245">V49+1*(AA49-V49)/5</f>
        <v>0.33800000000000002</v>
      </c>
      <c r="X49" s="41">
        <f t="shared" ref="X49:X57" si="246">V49+2*(AA49-V49)/5</f>
        <v>0.35599999999999998</v>
      </c>
      <c r="Y49" s="41">
        <f t="shared" ref="Y49:Y57" si="247">V49+3*(AA49-V49)/5</f>
        <v>0.374</v>
      </c>
      <c r="Z49" s="41">
        <f t="shared" ref="Z49:Z57" si="248">V49+4*(AA49-V49)/5</f>
        <v>0.39200000000000002</v>
      </c>
      <c r="AA49" s="41">
        <v>0.41</v>
      </c>
      <c r="AB49" s="41">
        <f t="shared" ref="AB49:AB57" si="249">AA49+1*(AF49-AA49)/5</f>
        <v>0.44799999999999995</v>
      </c>
      <c r="AC49" s="41">
        <f t="shared" ref="AC49:AC57" si="250">AA49+2*(AF49-AA49)/5</f>
        <v>0.48599999999999999</v>
      </c>
      <c r="AD49" s="41">
        <f t="shared" ref="AD49:AD57" si="251">AA49+3*(AF49-AA49)/5</f>
        <v>0.52400000000000002</v>
      </c>
      <c r="AE49" s="41">
        <f t="shared" ref="AE49:AE57" si="252">AA49+4*(AF49-AA49)/5</f>
        <v>0.56199999999999994</v>
      </c>
      <c r="AF49" s="41">
        <v>0.6</v>
      </c>
      <c r="AG49" s="41">
        <f t="shared" ref="AG49:AG57" si="253">AF49+1*(AK49-AF49)/5</f>
        <v>0.622</v>
      </c>
      <c r="AH49" s="41">
        <f t="shared" ref="AH49:AH57" si="254">AF49+2*(AK49-AF49)/5</f>
        <v>0.64400000000000002</v>
      </c>
      <c r="AI49" s="41">
        <f t="shared" ref="AI49:AI57" si="255">AF49+3*(AK49-AF49)/5</f>
        <v>0.66599999999999993</v>
      </c>
      <c r="AJ49" s="41">
        <f t="shared" ref="AJ49:AJ57" si="256">AF49+4*(AK49-AF49)/5</f>
        <v>0.68799999999999994</v>
      </c>
      <c r="AK49" s="41">
        <v>0.71</v>
      </c>
      <c r="AL49" s="41">
        <f t="shared" ref="AL49:AL57" si="257">AK49+1*(AP49-AK49)/5</f>
        <v>0.75800000000000001</v>
      </c>
      <c r="AM49" s="41">
        <f t="shared" ref="AM49:AM57" si="258">AK49+2*(AP49-AK49)/5</f>
        <v>0.80599999999999994</v>
      </c>
      <c r="AN49" s="41">
        <f t="shared" ref="AN49:AN57" si="259">AK49+3*(AP49-AK49)/5</f>
        <v>0.85399999999999998</v>
      </c>
      <c r="AO49" s="41">
        <f t="shared" ref="AO49:AO57" si="260">AK49+4*(AP49-AK49)/5</f>
        <v>0.90199999999999991</v>
      </c>
      <c r="AP49" s="41">
        <v>0.95</v>
      </c>
      <c r="AQ49" s="41">
        <f t="shared" ref="AQ49:AQ57" si="261">AP49+1*(AU49-AP49)/5</f>
        <v>1.02</v>
      </c>
      <c r="AR49" s="41">
        <f t="shared" ref="AR49:AR57" si="262">AP49+2*(AU49-AP49)/5</f>
        <v>1.0900000000000001</v>
      </c>
      <c r="AS49" s="41">
        <f t="shared" ref="AS49:AS57" si="263">AP49+3*(AU49-AP49)/5</f>
        <v>1.1599999999999999</v>
      </c>
      <c r="AT49" s="41">
        <f t="shared" ref="AT49:AT57" si="264">AP49+4*(AU49-AP49)/5</f>
        <v>1.23</v>
      </c>
      <c r="AU49" s="42">
        <v>1.3</v>
      </c>
    </row>
    <row r="50" spans="1:47" ht="20.25" customHeight="1" x14ac:dyDescent="0.2">
      <c r="A50" s="6">
        <v>18</v>
      </c>
      <c r="B50" s="41">
        <v>0.22</v>
      </c>
      <c r="C50" s="41">
        <f t="shared" si="229"/>
        <v>0.23200000000000001</v>
      </c>
      <c r="D50" s="41">
        <f t="shared" si="230"/>
        <v>0.24400000000000002</v>
      </c>
      <c r="E50" s="41">
        <f t="shared" si="231"/>
        <v>0.25600000000000001</v>
      </c>
      <c r="F50" s="41">
        <f t="shared" si="232"/>
        <v>0.26800000000000002</v>
      </c>
      <c r="G50" s="41">
        <v>0.28000000000000003</v>
      </c>
      <c r="H50" s="41">
        <f t="shared" si="233"/>
        <v>0.29200000000000004</v>
      </c>
      <c r="I50" s="41">
        <f t="shared" si="234"/>
        <v>0.30400000000000005</v>
      </c>
      <c r="J50" s="41">
        <f t="shared" si="235"/>
        <v>0.316</v>
      </c>
      <c r="K50" s="41">
        <f t="shared" si="236"/>
        <v>0.32800000000000001</v>
      </c>
      <c r="L50" s="41">
        <v>0.34</v>
      </c>
      <c r="M50" s="41">
        <f t="shared" si="237"/>
        <v>0.35600000000000004</v>
      </c>
      <c r="N50" s="41">
        <f t="shared" si="238"/>
        <v>0.372</v>
      </c>
      <c r="O50" s="41">
        <f t="shared" si="239"/>
        <v>0.38800000000000001</v>
      </c>
      <c r="P50" s="41">
        <f t="shared" si="240"/>
        <v>0.40400000000000003</v>
      </c>
      <c r="Q50" s="41">
        <v>0.42</v>
      </c>
      <c r="R50" s="41">
        <f t="shared" si="241"/>
        <v>0.45399999999999996</v>
      </c>
      <c r="S50" s="41">
        <f t="shared" si="242"/>
        <v>0.48799999999999999</v>
      </c>
      <c r="T50" s="41">
        <f t="shared" si="243"/>
        <v>0.52200000000000002</v>
      </c>
      <c r="U50" s="41">
        <f t="shared" si="244"/>
        <v>0.55599999999999994</v>
      </c>
      <c r="V50" s="41">
        <v>0.59</v>
      </c>
      <c r="W50" s="41">
        <f t="shared" si="245"/>
        <v>0.61599999999999999</v>
      </c>
      <c r="X50" s="41">
        <f t="shared" si="246"/>
        <v>0.64200000000000002</v>
      </c>
      <c r="Y50" s="41">
        <f t="shared" si="247"/>
        <v>0.66799999999999993</v>
      </c>
      <c r="Z50" s="41">
        <f t="shared" si="248"/>
        <v>0.69399999999999995</v>
      </c>
      <c r="AA50" s="41">
        <v>0.72</v>
      </c>
      <c r="AB50" s="41">
        <f t="shared" si="249"/>
        <v>0.75800000000000001</v>
      </c>
      <c r="AC50" s="41">
        <f t="shared" si="250"/>
        <v>0.79600000000000004</v>
      </c>
      <c r="AD50" s="41">
        <f t="shared" si="251"/>
        <v>0.83399999999999996</v>
      </c>
      <c r="AE50" s="41">
        <f t="shared" si="252"/>
        <v>0.872</v>
      </c>
      <c r="AF50" s="41">
        <v>0.91</v>
      </c>
      <c r="AG50" s="41">
        <f t="shared" si="253"/>
        <v>0.95399999999999996</v>
      </c>
      <c r="AH50" s="41">
        <f t="shared" si="254"/>
        <v>0.998</v>
      </c>
      <c r="AI50" s="41">
        <f t="shared" si="255"/>
        <v>1.042</v>
      </c>
      <c r="AJ50" s="41">
        <f t="shared" si="256"/>
        <v>1.0859999999999999</v>
      </c>
      <c r="AK50" s="41">
        <v>1.1299999999999999</v>
      </c>
      <c r="AL50" s="41">
        <f t="shared" si="257"/>
        <v>1.196</v>
      </c>
      <c r="AM50" s="41">
        <f t="shared" si="258"/>
        <v>1.262</v>
      </c>
      <c r="AN50" s="41">
        <f t="shared" si="259"/>
        <v>1.3279999999999998</v>
      </c>
      <c r="AO50" s="41">
        <f t="shared" si="260"/>
        <v>1.3939999999999999</v>
      </c>
      <c r="AP50" s="41">
        <v>1.46</v>
      </c>
      <c r="AQ50" s="41">
        <f t="shared" si="261"/>
        <v>1.5680000000000001</v>
      </c>
      <c r="AR50" s="41">
        <f t="shared" si="262"/>
        <v>1.6759999999999999</v>
      </c>
      <c r="AS50" s="41">
        <f t="shared" si="263"/>
        <v>1.784</v>
      </c>
      <c r="AT50" s="41">
        <f t="shared" si="264"/>
        <v>1.8919999999999999</v>
      </c>
      <c r="AU50" s="42">
        <v>2</v>
      </c>
    </row>
    <row r="51" spans="1:47" ht="20.25" customHeight="1" x14ac:dyDescent="0.2">
      <c r="A51" s="6">
        <v>19</v>
      </c>
      <c r="B51" s="41">
        <v>0.35</v>
      </c>
      <c r="C51" s="41">
        <f t="shared" si="229"/>
        <v>0.36599999999999999</v>
      </c>
      <c r="D51" s="41">
        <f t="shared" si="230"/>
        <v>0.38200000000000001</v>
      </c>
      <c r="E51" s="41">
        <f t="shared" si="231"/>
        <v>0.39799999999999996</v>
      </c>
      <c r="F51" s="41">
        <f t="shared" si="232"/>
        <v>0.41399999999999998</v>
      </c>
      <c r="G51" s="41">
        <v>0.43</v>
      </c>
      <c r="H51" s="41">
        <f t="shared" si="233"/>
        <v>0.442</v>
      </c>
      <c r="I51" s="41">
        <f t="shared" si="234"/>
        <v>0.45400000000000001</v>
      </c>
      <c r="J51" s="41">
        <f t="shared" si="235"/>
        <v>0.46599999999999997</v>
      </c>
      <c r="K51" s="41">
        <f t="shared" si="236"/>
        <v>0.47799999999999998</v>
      </c>
      <c r="L51" s="41">
        <v>0.49</v>
      </c>
      <c r="M51" s="41">
        <f t="shared" si="237"/>
        <v>0.51400000000000001</v>
      </c>
      <c r="N51" s="41">
        <f t="shared" si="238"/>
        <v>0.53800000000000003</v>
      </c>
      <c r="O51" s="41">
        <f t="shared" si="239"/>
        <v>0.56199999999999994</v>
      </c>
      <c r="P51" s="41">
        <f t="shared" si="240"/>
        <v>0.58599999999999997</v>
      </c>
      <c r="Q51" s="41">
        <v>0.61</v>
      </c>
      <c r="R51" s="41">
        <f t="shared" si="241"/>
        <v>0.64200000000000002</v>
      </c>
      <c r="S51" s="41">
        <f t="shared" si="242"/>
        <v>0.67400000000000004</v>
      </c>
      <c r="T51" s="41">
        <f t="shared" si="243"/>
        <v>0.70599999999999996</v>
      </c>
      <c r="U51" s="41">
        <f t="shared" si="244"/>
        <v>0.73799999999999999</v>
      </c>
      <c r="V51" s="41">
        <v>0.77</v>
      </c>
      <c r="W51" s="41">
        <f t="shared" si="245"/>
        <v>0.80600000000000005</v>
      </c>
      <c r="X51" s="41">
        <f t="shared" si="246"/>
        <v>0.84199999999999997</v>
      </c>
      <c r="Y51" s="41">
        <f t="shared" si="247"/>
        <v>0.878</v>
      </c>
      <c r="Z51" s="41">
        <f t="shared" si="248"/>
        <v>0.91399999999999992</v>
      </c>
      <c r="AA51" s="41">
        <v>0.95</v>
      </c>
      <c r="AB51" s="41">
        <f t="shared" si="249"/>
        <v>1.006</v>
      </c>
      <c r="AC51" s="41">
        <f t="shared" si="250"/>
        <v>1.0620000000000001</v>
      </c>
      <c r="AD51" s="41">
        <f t="shared" si="251"/>
        <v>1.1179999999999999</v>
      </c>
      <c r="AE51" s="41">
        <f t="shared" si="252"/>
        <v>1.1739999999999999</v>
      </c>
      <c r="AF51" s="41">
        <v>1.23</v>
      </c>
      <c r="AG51" s="41">
        <f t="shared" si="253"/>
        <v>1.28</v>
      </c>
      <c r="AH51" s="41">
        <f t="shared" si="254"/>
        <v>1.33</v>
      </c>
      <c r="AI51" s="41">
        <f t="shared" si="255"/>
        <v>1.38</v>
      </c>
      <c r="AJ51" s="41">
        <f t="shared" si="256"/>
        <v>1.43</v>
      </c>
      <c r="AK51" s="41">
        <v>1.48</v>
      </c>
      <c r="AL51" s="41">
        <f t="shared" si="257"/>
        <v>1.5680000000000001</v>
      </c>
      <c r="AM51" s="41">
        <f t="shared" si="258"/>
        <v>1.6559999999999999</v>
      </c>
      <c r="AN51" s="41">
        <f t="shared" si="259"/>
        <v>1.744</v>
      </c>
      <c r="AO51" s="41">
        <f t="shared" si="260"/>
        <v>1.8319999999999999</v>
      </c>
      <c r="AP51" s="41">
        <v>1.92</v>
      </c>
      <c r="AQ51" s="41">
        <f t="shared" si="261"/>
        <v>2.016</v>
      </c>
      <c r="AR51" s="41">
        <f t="shared" si="262"/>
        <v>2.1120000000000001</v>
      </c>
      <c r="AS51" s="41">
        <f t="shared" si="263"/>
        <v>2.2079999999999997</v>
      </c>
      <c r="AT51" s="41">
        <f t="shared" si="264"/>
        <v>2.3039999999999998</v>
      </c>
      <c r="AU51" s="42">
        <v>2.4</v>
      </c>
    </row>
    <row r="52" spans="1:47" ht="20.25" customHeight="1" x14ac:dyDescent="0.2">
      <c r="A52" s="6">
        <v>20</v>
      </c>
      <c r="B52" s="41">
        <v>0.5</v>
      </c>
      <c r="C52" s="41">
        <f t="shared" si="229"/>
        <v>0.51800000000000002</v>
      </c>
      <c r="D52" s="41">
        <f t="shared" si="230"/>
        <v>0.53600000000000003</v>
      </c>
      <c r="E52" s="41">
        <f t="shared" si="231"/>
        <v>0.55399999999999994</v>
      </c>
      <c r="F52" s="41">
        <f t="shared" si="232"/>
        <v>0.57199999999999995</v>
      </c>
      <c r="G52" s="41">
        <v>0.59</v>
      </c>
      <c r="H52" s="41">
        <f t="shared" si="233"/>
        <v>0.6</v>
      </c>
      <c r="I52" s="41">
        <f t="shared" si="234"/>
        <v>0.61</v>
      </c>
      <c r="J52" s="41">
        <f t="shared" si="235"/>
        <v>0.62</v>
      </c>
      <c r="K52" s="41">
        <f t="shared" si="236"/>
        <v>0.63</v>
      </c>
      <c r="L52" s="41">
        <v>0.64</v>
      </c>
      <c r="M52" s="41">
        <f t="shared" si="237"/>
        <v>0.66200000000000003</v>
      </c>
      <c r="N52" s="41">
        <f t="shared" si="238"/>
        <v>0.68400000000000005</v>
      </c>
      <c r="O52" s="41">
        <f t="shared" si="239"/>
        <v>0.70599999999999996</v>
      </c>
      <c r="P52" s="41">
        <f t="shared" si="240"/>
        <v>0.72799999999999998</v>
      </c>
      <c r="Q52" s="41">
        <v>0.75</v>
      </c>
      <c r="R52" s="41">
        <f t="shared" si="241"/>
        <v>0.78400000000000003</v>
      </c>
      <c r="S52" s="41">
        <f t="shared" si="242"/>
        <v>0.81800000000000006</v>
      </c>
      <c r="T52" s="41">
        <f t="shared" si="243"/>
        <v>0.85199999999999998</v>
      </c>
      <c r="U52" s="41">
        <f t="shared" si="244"/>
        <v>0.88600000000000001</v>
      </c>
      <c r="V52" s="41">
        <v>0.92</v>
      </c>
      <c r="W52" s="41">
        <f t="shared" si="245"/>
        <v>0.96599999999999997</v>
      </c>
      <c r="X52" s="41">
        <f t="shared" si="246"/>
        <v>1.012</v>
      </c>
      <c r="Y52" s="41">
        <f t="shared" si="247"/>
        <v>1.0580000000000001</v>
      </c>
      <c r="Z52" s="41">
        <f t="shared" si="248"/>
        <v>1.1039999999999999</v>
      </c>
      <c r="AA52" s="41">
        <v>1.1499999999999999</v>
      </c>
      <c r="AB52" s="41">
        <f t="shared" si="249"/>
        <v>1.206</v>
      </c>
      <c r="AC52" s="41">
        <f t="shared" si="250"/>
        <v>1.262</v>
      </c>
      <c r="AD52" s="41">
        <f t="shared" si="251"/>
        <v>1.3179999999999998</v>
      </c>
      <c r="AE52" s="41">
        <f t="shared" si="252"/>
        <v>1.3739999999999999</v>
      </c>
      <c r="AF52" s="41">
        <v>1.43</v>
      </c>
      <c r="AG52" s="41">
        <f t="shared" si="253"/>
        <v>1.49</v>
      </c>
      <c r="AH52" s="41">
        <f t="shared" si="254"/>
        <v>1.55</v>
      </c>
      <c r="AI52" s="41">
        <f t="shared" si="255"/>
        <v>1.6099999999999999</v>
      </c>
      <c r="AJ52" s="41">
        <f t="shared" si="256"/>
        <v>1.67</v>
      </c>
      <c r="AK52" s="41">
        <v>1.73</v>
      </c>
      <c r="AL52" s="41">
        <f t="shared" si="257"/>
        <v>1.8240000000000001</v>
      </c>
      <c r="AM52" s="41">
        <f t="shared" si="258"/>
        <v>1.9180000000000001</v>
      </c>
      <c r="AN52" s="41">
        <f t="shared" si="259"/>
        <v>2.012</v>
      </c>
      <c r="AO52" s="41">
        <f t="shared" si="260"/>
        <v>2.1060000000000003</v>
      </c>
      <c r="AP52" s="41">
        <v>2.2000000000000002</v>
      </c>
      <c r="AQ52" s="41">
        <f t="shared" si="261"/>
        <v>2.2800000000000002</v>
      </c>
      <c r="AR52" s="41">
        <f t="shared" si="262"/>
        <v>2.3600000000000003</v>
      </c>
      <c r="AS52" s="41">
        <f t="shared" si="263"/>
        <v>2.44</v>
      </c>
      <c r="AT52" s="41">
        <f t="shared" si="264"/>
        <v>2.52</v>
      </c>
      <c r="AU52" s="42">
        <v>2.6</v>
      </c>
    </row>
    <row r="53" spans="1:47" ht="20.25" customHeight="1" x14ac:dyDescent="0.2">
      <c r="A53" s="6">
        <v>21</v>
      </c>
      <c r="B53" s="55">
        <v>0.6</v>
      </c>
      <c r="C53" s="41">
        <f t="shared" si="229"/>
        <v>0.622</v>
      </c>
      <c r="D53" s="41">
        <f t="shared" si="230"/>
        <v>0.64400000000000002</v>
      </c>
      <c r="E53" s="41">
        <f t="shared" si="231"/>
        <v>0.66599999999999993</v>
      </c>
      <c r="F53" s="41">
        <f t="shared" si="232"/>
        <v>0.68799999999999994</v>
      </c>
      <c r="G53" s="55">
        <v>0.71</v>
      </c>
      <c r="H53" s="41">
        <f t="shared" si="233"/>
        <v>0.72599999999999998</v>
      </c>
      <c r="I53" s="41">
        <f t="shared" si="234"/>
        <v>0.74199999999999999</v>
      </c>
      <c r="J53" s="41">
        <f t="shared" si="235"/>
        <v>0.75800000000000001</v>
      </c>
      <c r="K53" s="41">
        <f t="shared" si="236"/>
        <v>0.77400000000000002</v>
      </c>
      <c r="L53" s="55">
        <v>0.79</v>
      </c>
      <c r="M53" s="41">
        <f t="shared" si="237"/>
        <v>0.81400000000000006</v>
      </c>
      <c r="N53" s="41">
        <f t="shared" si="238"/>
        <v>0.83800000000000008</v>
      </c>
      <c r="O53" s="41">
        <f t="shared" si="239"/>
        <v>0.86199999999999999</v>
      </c>
      <c r="P53" s="41">
        <f t="shared" si="240"/>
        <v>0.88600000000000001</v>
      </c>
      <c r="Q53" s="55">
        <v>0.91</v>
      </c>
      <c r="R53" s="41">
        <f t="shared" si="241"/>
        <v>0.94200000000000006</v>
      </c>
      <c r="S53" s="41">
        <f t="shared" si="242"/>
        <v>0.97400000000000009</v>
      </c>
      <c r="T53" s="41">
        <f t="shared" si="243"/>
        <v>1.006</v>
      </c>
      <c r="U53" s="41">
        <f t="shared" si="244"/>
        <v>1.038</v>
      </c>
      <c r="V53" s="55">
        <v>1.07</v>
      </c>
      <c r="W53" s="41">
        <f t="shared" si="245"/>
        <v>1.1000000000000001</v>
      </c>
      <c r="X53" s="41">
        <f t="shared" si="246"/>
        <v>1.1300000000000001</v>
      </c>
      <c r="Y53" s="41">
        <f t="shared" si="247"/>
        <v>1.1599999999999999</v>
      </c>
      <c r="Z53" s="41">
        <f t="shared" si="248"/>
        <v>1.19</v>
      </c>
      <c r="AA53" s="55">
        <v>1.22</v>
      </c>
      <c r="AB53" s="41">
        <f t="shared" si="249"/>
        <v>1.302</v>
      </c>
      <c r="AC53" s="41">
        <f t="shared" si="250"/>
        <v>1.3839999999999999</v>
      </c>
      <c r="AD53" s="41">
        <f t="shared" si="251"/>
        <v>1.466</v>
      </c>
      <c r="AE53" s="41">
        <f t="shared" si="252"/>
        <v>1.548</v>
      </c>
      <c r="AF53" s="55">
        <v>1.63</v>
      </c>
      <c r="AG53" s="41">
        <f t="shared" si="253"/>
        <v>1.7</v>
      </c>
      <c r="AH53" s="41">
        <f t="shared" si="254"/>
        <v>1.77</v>
      </c>
      <c r="AI53" s="41">
        <f t="shared" si="255"/>
        <v>1.8399999999999999</v>
      </c>
      <c r="AJ53" s="41">
        <f t="shared" si="256"/>
        <v>1.91</v>
      </c>
      <c r="AK53" s="55">
        <v>1.98</v>
      </c>
      <c r="AL53" s="41">
        <f t="shared" si="257"/>
        <v>2.0680000000000001</v>
      </c>
      <c r="AM53" s="41">
        <f t="shared" si="258"/>
        <v>2.1560000000000001</v>
      </c>
      <c r="AN53" s="41">
        <f t="shared" si="259"/>
        <v>2.2439999999999998</v>
      </c>
      <c r="AO53" s="41">
        <f t="shared" si="260"/>
        <v>2.3319999999999999</v>
      </c>
      <c r="AP53" s="55">
        <v>2.42</v>
      </c>
      <c r="AQ53" s="41">
        <f t="shared" si="261"/>
        <v>2.536</v>
      </c>
      <c r="AR53" s="41">
        <f t="shared" si="262"/>
        <v>2.6520000000000001</v>
      </c>
      <c r="AS53" s="41">
        <f t="shared" si="263"/>
        <v>2.7679999999999998</v>
      </c>
      <c r="AT53" s="41">
        <f t="shared" si="264"/>
        <v>2.8839999999999999</v>
      </c>
      <c r="AU53" s="56">
        <v>3</v>
      </c>
    </row>
    <row r="54" spans="1:47" ht="20.25" customHeight="1" x14ac:dyDescent="0.2">
      <c r="A54" s="6">
        <v>22</v>
      </c>
      <c r="B54" s="55">
        <v>0.69</v>
      </c>
      <c r="C54" s="41">
        <f t="shared" si="229"/>
        <v>0.71799999999999997</v>
      </c>
      <c r="D54" s="41">
        <f t="shared" si="230"/>
        <v>0.746</v>
      </c>
      <c r="E54" s="41">
        <f t="shared" si="231"/>
        <v>0.77399999999999991</v>
      </c>
      <c r="F54" s="41">
        <f t="shared" si="232"/>
        <v>0.80199999999999994</v>
      </c>
      <c r="G54" s="55">
        <v>0.83</v>
      </c>
      <c r="H54" s="41">
        <f t="shared" si="233"/>
        <v>0.85199999999999998</v>
      </c>
      <c r="I54" s="41">
        <f t="shared" si="234"/>
        <v>0.874</v>
      </c>
      <c r="J54" s="41">
        <f t="shared" si="235"/>
        <v>0.89599999999999991</v>
      </c>
      <c r="K54" s="41">
        <f t="shared" si="236"/>
        <v>0.91799999999999993</v>
      </c>
      <c r="L54" s="55">
        <v>0.94</v>
      </c>
      <c r="M54" s="41">
        <f t="shared" si="237"/>
        <v>0.96199999999999997</v>
      </c>
      <c r="N54" s="41">
        <f t="shared" si="238"/>
        <v>0.98399999999999999</v>
      </c>
      <c r="O54" s="41">
        <f t="shared" si="239"/>
        <v>1.006</v>
      </c>
      <c r="P54" s="41">
        <f t="shared" si="240"/>
        <v>1.028</v>
      </c>
      <c r="Q54" s="55">
        <v>1.05</v>
      </c>
      <c r="R54" s="41">
        <f t="shared" si="241"/>
        <v>1.0840000000000001</v>
      </c>
      <c r="S54" s="41">
        <f t="shared" si="242"/>
        <v>1.1180000000000001</v>
      </c>
      <c r="T54" s="41">
        <f t="shared" si="243"/>
        <v>1.1519999999999999</v>
      </c>
      <c r="U54" s="41">
        <f t="shared" si="244"/>
        <v>1.1859999999999999</v>
      </c>
      <c r="V54" s="55">
        <v>1.22</v>
      </c>
      <c r="W54" s="41">
        <f t="shared" si="245"/>
        <v>1.236</v>
      </c>
      <c r="X54" s="41">
        <f t="shared" si="246"/>
        <v>1.252</v>
      </c>
      <c r="Y54" s="41">
        <f t="shared" si="247"/>
        <v>1.268</v>
      </c>
      <c r="Z54" s="41">
        <f t="shared" si="248"/>
        <v>1.284</v>
      </c>
      <c r="AA54" s="55">
        <v>1.3</v>
      </c>
      <c r="AB54" s="41">
        <f t="shared" si="249"/>
        <v>1.4100000000000001</v>
      </c>
      <c r="AC54" s="41">
        <f t="shared" si="250"/>
        <v>1.52</v>
      </c>
      <c r="AD54" s="41">
        <f t="shared" si="251"/>
        <v>1.6300000000000001</v>
      </c>
      <c r="AE54" s="41">
        <f t="shared" si="252"/>
        <v>1.7400000000000002</v>
      </c>
      <c r="AF54" s="55">
        <v>1.85</v>
      </c>
      <c r="AG54" s="41">
        <f t="shared" si="253"/>
        <v>1.9260000000000002</v>
      </c>
      <c r="AH54" s="41">
        <f t="shared" si="254"/>
        <v>2.0020000000000002</v>
      </c>
      <c r="AI54" s="41">
        <f t="shared" si="255"/>
        <v>2.0779999999999998</v>
      </c>
      <c r="AJ54" s="41">
        <f t="shared" si="256"/>
        <v>2.1539999999999999</v>
      </c>
      <c r="AK54" s="55">
        <v>2.23</v>
      </c>
      <c r="AL54" s="41">
        <f t="shared" si="257"/>
        <v>2.3199999999999998</v>
      </c>
      <c r="AM54" s="41">
        <f t="shared" si="258"/>
        <v>2.41</v>
      </c>
      <c r="AN54" s="41">
        <f t="shared" si="259"/>
        <v>2.5</v>
      </c>
      <c r="AO54" s="41">
        <f t="shared" si="260"/>
        <v>2.5900000000000003</v>
      </c>
      <c r="AP54" s="55">
        <v>2.68</v>
      </c>
      <c r="AQ54" s="41">
        <f t="shared" si="261"/>
        <v>2.8240000000000003</v>
      </c>
      <c r="AR54" s="41">
        <f t="shared" si="262"/>
        <v>2.968</v>
      </c>
      <c r="AS54" s="41">
        <f t="shared" si="263"/>
        <v>3.1120000000000001</v>
      </c>
      <c r="AT54" s="41">
        <f t="shared" si="264"/>
        <v>3.2560000000000002</v>
      </c>
      <c r="AU54" s="56">
        <v>3.4</v>
      </c>
    </row>
    <row r="55" spans="1:47" ht="20.25" customHeight="1" x14ac:dyDescent="0.2">
      <c r="A55" s="6">
        <v>23</v>
      </c>
      <c r="B55" s="55">
        <v>0.78</v>
      </c>
      <c r="C55" s="41">
        <f t="shared" si="229"/>
        <v>0.81200000000000006</v>
      </c>
      <c r="D55" s="41">
        <f t="shared" si="230"/>
        <v>0.84399999999999997</v>
      </c>
      <c r="E55" s="41">
        <f t="shared" si="231"/>
        <v>0.876</v>
      </c>
      <c r="F55" s="41">
        <f t="shared" si="232"/>
        <v>0.90799999999999992</v>
      </c>
      <c r="G55" s="55">
        <v>0.94</v>
      </c>
      <c r="H55" s="41">
        <f t="shared" si="233"/>
        <v>0.96799999999999997</v>
      </c>
      <c r="I55" s="41">
        <f t="shared" si="234"/>
        <v>0.996</v>
      </c>
      <c r="J55" s="41">
        <f t="shared" si="235"/>
        <v>1.024</v>
      </c>
      <c r="K55" s="41">
        <f t="shared" si="236"/>
        <v>1.052</v>
      </c>
      <c r="L55" s="55">
        <v>1.08</v>
      </c>
      <c r="M55" s="41">
        <f t="shared" si="237"/>
        <v>1.1020000000000001</v>
      </c>
      <c r="N55" s="41">
        <f t="shared" si="238"/>
        <v>1.1240000000000001</v>
      </c>
      <c r="O55" s="41">
        <f t="shared" si="239"/>
        <v>1.1459999999999999</v>
      </c>
      <c r="P55" s="41">
        <f t="shared" si="240"/>
        <v>1.1679999999999999</v>
      </c>
      <c r="Q55" s="55">
        <v>1.19</v>
      </c>
      <c r="R55" s="41">
        <f t="shared" si="241"/>
        <v>1.226</v>
      </c>
      <c r="S55" s="41">
        <f t="shared" si="242"/>
        <v>1.262</v>
      </c>
      <c r="T55" s="41">
        <f t="shared" si="243"/>
        <v>1.298</v>
      </c>
      <c r="U55" s="41">
        <f t="shared" si="244"/>
        <v>1.3340000000000001</v>
      </c>
      <c r="V55" s="55">
        <v>1.37</v>
      </c>
      <c r="W55" s="41">
        <f t="shared" si="245"/>
        <v>1.3860000000000001</v>
      </c>
      <c r="X55" s="41">
        <f t="shared" si="246"/>
        <v>1.4020000000000001</v>
      </c>
      <c r="Y55" s="41">
        <f t="shared" si="247"/>
        <v>1.4179999999999999</v>
      </c>
      <c r="Z55" s="41">
        <f t="shared" si="248"/>
        <v>1.4339999999999999</v>
      </c>
      <c r="AA55" s="55">
        <v>1.45</v>
      </c>
      <c r="AB55" s="41">
        <f t="shared" si="249"/>
        <v>1.5760000000000001</v>
      </c>
      <c r="AC55" s="41">
        <f t="shared" si="250"/>
        <v>1.702</v>
      </c>
      <c r="AD55" s="41">
        <f t="shared" si="251"/>
        <v>1.8280000000000001</v>
      </c>
      <c r="AE55" s="41">
        <f t="shared" si="252"/>
        <v>1.9540000000000002</v>
      </c>
      <c r="AF55" s="55">
        <v>2.08</v>
      </c>
      <c r="AG55" s="41">
        <f t="shared" si="253"/>
        <v>2.16</v>
      </c>
      <c r="AH55" s="41">
        <f t="shared" si="254"/>
        <v>2.2400000000000002</v>
      </c>
      <c r="AI55" s="41">
        <f t="shared" si="255"/>
        <v>2.3199999999999998</v>
      </c>
      <c r="AJ55" s="41">
        <f t="shared" si="256"/>
        <v>2.4</v>
      </c>
      <c r="AK55" s="55">
        <v>2.48</v>
      </c>
      <c r="AL55" s="41">
        <f t="shared" si="257"/>
        <v>2.5840000000000001</v>
      </c>
      <c r="AM55" s="41">
        <f t="shared" si="258"/>
        <v>2.6880000000000002</v>
      </c>
      <c r="AN55" s="41">
        <f t="shared" si="259"/>
        <v>2.7919999999999998</v>
      </c>
      <c r="AO55" s="41">
        <f t="shared" si="260"/>
        <v>2.8959999999999999</v>
      </c>
      <c r="AP55" s="55">
        <v>3</v>
      </c>
      <c r="AQ55" s="41">
        <f t="shared" si="261"/>
        <v>3.1539999999999999</v>
      </c>
      <c r="AR55" s="41">
        <f t="shared" si="262"/>
        <v>3.3079999999999998</v>
      </c>
      <c r="AS55" s="41">
        <f t="shared" si="263"/>
        <v>3.4620000000000002</v>
      </c>
      <c r="AT55" s="41">
        <f t="shared" si="264"/>
        <v>3.6160000000000001</v>
      </c>
      <c r="AU55" s="56">
        <v>3.77</v>
      </c>
    </row>
    <row r="56" spans="1:47" ht="20.25" customHeight="1" x14ac:dyDescent="0.2">
      <c r="A56" s="6">
        <v>24</v>
      </c>
      <c r="B56" s="55">
        <v>0.86</v>
      </c>
      <c r="C56" s="41">
        <f t="shared" si="229"/>
        <v>0.89800000000000002</v>
      </c>
      <c r="D56" s="41">
        <f t="shared" si="230"/>
        <v>0.93600000000000005</v>
      </c>
      <c r="E56" s="41">
        <f t="shared" si="231"/>
        <v>0.97399999999999998</v>
      </c>
      <c r="F56" s="41">
        <f t="shared" si="232"/>
        <v>1.012</v>
      </c>
      <c r="G56" s="55">
        <v>1.05</v>
      </c>
      <c r="H56" s="41">
        <f t="shared" si="233"/>
        <v>1.0740000000000001</v>
      </c>
      <c r="I56" s="41">
        <f t="shared" si="234"/>
        <v>1.0980000000000001</v>
      </c>
      <c r="J56" s="41">
        <f t="shared" si="235"/>
        <v>1.1219999999999999</v>
      </c>
      <c r="K56" s="41">
        <f t="shared" si="236"/>
        <v>1.1459999999999999</v>
      </c>
      <c r="L56" s="55">
        <v>1.17</v>
      </c>
      <c r="M56" s="41">
        <f t="shared" si="237"/>
        <v>1.202</v>
      </c>
      <c r="N56" s="41">
        <f t="shared" si="238"/>
        <v>1.234</v>
      </c>
      <c r="O56" s="41">
        <f t="shared" si="239"/>
        <v>1.266</v>
      </c>
      <c r="P56" s="41">
        <f t="shared" si="240"/>
        <v>1.298</v>
      </c>
      <c r="Q56" s="55">
        <v>1.33</v>
      </c>
      <c r="R56" s="41">
        <f t="shared" si="241"/>
        <v>1.3680000000000001</v>
      </c>
      <c r="S56" s="41">
        <f t="shared" si="242"/>
        <v>1.4060000000000001</v>
      </c>
      <c r="T56" s="41">
        <f t="shared" si="243"/>
        <v>1.444</v>
      </c>
      <c r="U56" s="41">
        <f t="shared" si="244"/>
        <v>1.482</v>
      </c>
      <c r="V56" s="55">
        <v>1.52</v>
      </c>
      <c r="W56" s="41">
        <f t="shared" si="245"/>
        <v>1.546</v>
      </c>
      <c r="X56" s="41">
        <f t="shared" si="246"/>
        <v>1.5720000000000001</v>
      </c>
      <c r="Y56" s="41">
        <f t="shared" si="247"/>
        <v>1.5979999999999999</v>
      </c>
      <c r="Z56" s="41">
        <f t="shared" si="248"/>
        <v>1.6239999999999999</v>
      </c>
      <c r="AA56" s="55">
        <v>1.65</v>
      </c>
      <c r="AB56" s="41">
        <f t="shared" si="249"/>
        <v>1.7799999999999998</v>
      </c>
      <c r="AC56" s="41">
        <f t="shared" si="250"/>
        <v>1.91</v>
      </c>
      <c r="AD56" s="41">
        <f t="shared" si="251"/>
        <v>2.04</v>
      </c>
      <c r="AE56" s="41">
        <f t="shared" si="252"/>
        <v>2.17</v>
      </c>
      <c r="AF56" s="55">
        <v>2.2999999999999998</v>
      </c>
      <c r="AG56" s="41">
        <f t="shared" si="253"/>
        <v>2.3899999999999997</v>
      </c>
      <c r="AH56" s="41">
        <f t="shared" si="254"/>
        <v>2.48</v>
      </c>
      <c r="AI56" s="41">
        <f t="shared" si="255"/>
        <v>2.57</v>
      </c>
      <c r="AJ56" s="41">
        <f t="shared" si="256"/>
        <v>2.66</v>
      </c>
      <c r="AK56" s="55">
        <v>2.75</v>
      </c>
      <c r="AL56" s="41">
        <f t="shared" si="257"/>
        <v>2.8639999999999999</v>
      </c>
      <c r="AM56" s="41">
        <f t="shared" si="258"/>
        <v>2.9779999999999998</v>
      </c>
      <c r="AN56" s="41">
        <f t="shared" si="259"/>
        <v>3.0920000000000001</v>
      </c>
      <c r="AO56" s="41">
        <f t="shared" si="260"/>
        <v>3.206</v>
      </c>
      <c r="AP56" s="55">
        <v>3.32</v>
      </c>
      <c r="AQ56" s="41">
        <f t="shared" si="261"/>
        <v>3.4539999999999997</v>
      </c>
      <c r="AR56" s="41">
        <f t="shared" si="262"/>
        <v>3.5880000000000001</v>
      </c>
      <c r="AS56" s="41">
        <f t="shared" si="263"/>
        <v>3.722</v>
      </c>
      <c r="AT56" s="41">
        <f t="shared" si="264"/>
        <v>3.8559999999999999</v>
      </c>
      <c r="AU56" s="56">
        <v>3.99</v>
      </c>
    </row>
    <row r="57" spans="1:47" ht="20.25" customHeight="1" x14ac:dyDescent="0.2">
      <c r="A57" s="6">
        <v>25</v>
      </c>
      <c r="B57" s="55">
        <v>0.95</v>
      </c>
      <c r="C57" s="41">
        <f t="shared" si="229"/>
        <v>0.98799999999999999</v>
      </c>
      <c r="D57" s="41">
        <f t="shared" si="230"/>
        <v>1.026</v>
      </c>
      <c r="E57" s="41">
        <f t="shared" si="231"/>
        <v>1.0639999999999998</v>
      </c>
      <c r="F57" s="41">
        <f t="shared" si="232"/>
        <v>1.1019999999999999</v>
      </c>
      <c r="G57" s="55">
        <v>1.1399999999999999</v>
      </c>
      <c r="H57" s="41">
        <f t="shared" si="233"/>
        <v>1.1659999999999999</v>
      </c>
      <c r="I57" s="41">
        <f t="shared" si="234"/>
        <v>1.1919999999999999</v>
      </c>
      <c r="J57" s="41">
        <f t="shared" si="235"/>
        <v>1.218</v>
      </c>
      <c r="K57" s="41">
        <f t="shared" si="236"/>
        <v>1.244</v>
      </c>
      <c r="L57" s="55">
        <v>1.27</v>
      </c>
      <c r="M57" s="41">
        <f t="shared" si="237"/>
        <v>1.306</v>
      </c>
      <c r="N57" s="41">
        <f t="shared" si="238"/>
        <v>1.3420000000000001</v>
      </c>
      <c r="O57" s="41">
        <f t="shared" si="239"/>
        <v>1.3779999999999999</v>
      </c>
      <c r="P57" s="41">
        <f t="shared" si="240"/>
        <v>1.4139999999999999</v>
      </c>
      <c r="Q57" s="55">
        <v>1.45</v>
      </c>
      <c r="R57" s="41">
        <f t="shared" si="241"/>
        <v>1.502</v>
      </c>
      <c r="S57" s="41">
        <f t="shared" si="242"/>
        <v>1.554</v>
      </c>
      <c r="T57" s="41">
        <f t="shared" si="243"/>
        <v>1.6059999999999999</v>
      </c>
      <c r="U57" s="41">
        <f t="shared" si="244"/>
        <v>1.6579999999999999</v>
      </c>
      <c r="V57" s="55">
        <v>1.71</v>
      </c>
      <c r="W57" s="41">
        <f t="shared" si="245"/>
        <v>1.768</v>
      </c>
      <c r="X57" s="41">
        <f t="shared" si="246"/>
        <v>1.8260000000000001</v>
      </c>
      <c r="Y57" s="41">
        <f t="shared" si="247"/>
        <v>1.8839999999999999</v>
      </c>
      <c r="Z57" s="41">
        <f t="shared" si="248"/>
        <v>1.9419999999999999</v>
      </c>
      <c r="AA57" s="55">
        <v>2</v>
      </c>
      <c r="AB57" s="41">
        <f t="shared" si="249"/>
        <v>2.09</v>
      </c>
      <c r="AC57" s="41">
        <f t="shared" si="250"/>
        <v>2.1800000000000002</v>
      </c>
      <c r="AD57" s="41">
        <f t="shared" si="251"/>
        <v>2.27</v>
      </c>
      <c r="AE57" s="41">
        <f t="shared" si="252"/>
        <v>2.3600000000000003</v>
      </c>
      <c r="AF57" s="55">
        <v>2.4500000000000002</v>
      </c>
      <c r="AG57" s="41">
        <f t="shared" si="253"/>
        <v>2.54</v>
      </c>
      <c r="AH57" s="41">
        <f t="shared" si="254"/>
        <v>2.63</v>
      </c>
      <c r="AI57" s="41">
        <f t="shared" si="255"/>
        <v>2.72</v>
      </c>
      <c r="AJ57" s="41">
        <f t="shared" si="256"/>
        <v>2.81</v>
      </c>
      <c r="AK57" s="55">
        <v>2.9</v>
      </c>
      <c r="AL57" s="41">
        <f t="shared" si="257"/>
        <v>3.024</v>
      </c>
      <c r="AM57" s="41">
        <f t="shared" si="258"/>
        <v>3.1480000000000001</v>
      </c>
      <c r="AN57" s="41">
        <f t="shared" si="259"/>
        <v>3.2719999999999998</v>
      </c>
      <c r="AO57" s="41">
        <f t="shared" si="260"/>
        <v>3.3959999999999999</v>
      </c>
      <c r="AP57" s="55">
        <v>3.52</v>
      </c>
      <c r="AQ57" s="41">
        <f t="shared" si="261"/>
        <v>3.6619999999999999</v>
      </c>
      <c r="AR57" s="41">
        <f t="shared" si="262"/>
        <v>3.8040000000000003</v>
      </c>
      <c r="AS57" s="41">
        <f t="shared" si="263"/>
        <v>3.9460000000000002</v>
      </c>
      <c r="AT57" s="41">
        <f t="shared" si="264"/>
        <v>4.0880000000000001</v>
      </c>
      <c r="AU57" s="56">
        <v>4.2300000000000004</v>
      </c>
    </row>
    <row r="58" spans="1:47" ht="20.25" customHeight="1" thickBot="1" x14ac:dyDescent="0.25">
      <c r="A58" s="7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21"/>
    </row>
    <row r="59" spans="1:47" ht="20.25" customHeight="1" thickTop="1" x14ac:dyDescent="0.2"/>
  </sheetData>
  <sheetProtection sheet="1" objects="1" scenarios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LNG vapour calculation</vt:lpstr>
      <vt:lpstr>Example compositions</vt:lpstr>
      <vt:lpstr>ISO 6578 Tables</vt:lpstr>
      <vt:lpstr>'LNG vapour calculation'!Obszar_wydruku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Klejna</dc:creator>
  <cp:lastModifiedBy>Krzysztof Klejna</cp:lastModifiedBy>
  <cp:lastPrinted>2023-08-15T20:26:38Z</cp:lastPrinted>
  <dcterms:created xsi:type="dcterms:W3CDTF">2021-05-02T08:35:45Z</dcterms:created>
  <dcterms:modified xsi:type="dcterms:W3CDTF">2023-10-01T07:51:06Z</dcterms:modified>
</cp:coreProperties>
</file>