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rzys\Documents\GAZOWCE\Files\"/>
    </mc:Choice>
  </mc:AlternateContent>
  <xr:revisionPtr revIDLastSave="0" documentId="13_ncr:1_{8AD1DF8B-EF7F-4487-AF1E-BFC09D042828}" xr6:coauthVersionLast="46" xr6:coauthVersionMax="46" xr10:uidLastSave="{00000000-0000-0000-0000-000000000000}"/>
  <bookViews>
    <workbookView xWindow="-96" yWindow="-96" windowWidth="19392" windowHeight="10992" xr2:uid="{00000000-000D-0000-FFFF-FFFF00000000}"/>
  </bookViews>
  <sheets>
    <sheet name="Spis treści" sheetId="2" r:id="rId1"/>
    <sheet name="Prędkość" sheetId="3" r:id="rId2"/>
    <sheet name="Odległość" sheetId="4" r:id="rId3"/>
    <sheet name="Ciśnienie" sheetId="16" r:id="rId4"/>
    <sheet name="Temperatura" sheetId="19" r:id="rId5"/>
    <sheet name="Powierzchnia" sheetId="24" r:id="rId6"/>
    <sheet name="Pojemność" sheetId="17" r:id="rId7"/>
    <sheet name="Masa" sheetId="18" r:id="rId8"/>
    <sheet name="Energia" sheetId="22" r:id="rId9"/>
    <sheet name="Siła" sheetId="21" r:id="rId10"/>
    <sheet name="Moc" sheetId="20" r:id="rId11"/>
    <sheet name="Kąty" sheetId="23" r:id="rId12"/>
    <sheet name="Przedrostki" sheetId="10" r:id="rId13"/>
    <sheet name="Stałe" sheetId="15" r:id="rId14"/>
    <sheet name="Beaufort" sheetId="11" r:id="rId15"/>
    <sheet name="Widzialność" sheetId="14" r:id="rId16"/>
    <sheet name="SI" sheetId="12" r:id="rId17"/>
    <sheet name="Nie SI" sheetId="13" r:id="rId18"/>
    <sheet name="Północne" sheetId="8" r:id="rId19"/>
    <sheet name="Południowe" sheetId="7" r:id="rId20"/>
    <sheet name="Róża wiatrów" sheetId="9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16" l="1"/>
  <c r="D7" i="16"/>
  <c r="E7" i="16"/>
  <c r="F7" i="16"/>
  <c r="G7" i="16"/>
  <c r="H7" i="16"/>
  <c r="I7" i="16"/>
  <c r="J7" i="16"/>
  <c r="C8" i="16"/>
  <c r="C11" i="16"/>
  <c r="D8" i="16"/>
  <c r="E8" i="16"/>
  <c r="F8" i="16"/>
  <c r="G8" i="16"/>
  <c r="H8" i="16"/>
  <c r="I8" i="16"/>
  <c r="J8" i="16"/>
  <c r="C9" i="16"/>
  <c r="C10" i="16"/>
  <c r="D9" i="16"/>
  <c r="E9" i="16"/>
  <c r="F9" i="16"/>
  <c r="G9" i="16"/>
  <c r="H9" i="16"/>
  <c r="I9" i="16"/>
  <c r="J9" i="16"/>
  <c r="D10" i="16"/>
  <c r="E10" i="16"/>
  <c r="F10" i="16"/>
  <c r="G10" i="16"/>
  <c r="H10" i="16"/>
  <c r="I10" i="16"/>
  <c r="J10" i="16"/>
  <c r="D11" i="16"/>
  <c r="E11" i="16"/>
  <c r="F11" i="16"/>
  <c r="G11" i="16"/>
  <c r="H11" i="16"/>
  <c r="I11" i="16"/>
  <c r="J11" i="16"/>
  <c r="D12" i="16"/>
  <c r="E12" i="16"/>
  <c r="F12" i="16"/>
  <c r="G12" i="16"/>
  <c r="H12" i="16"/>
  <c r="I12" i="16"/>
  <c r="J12" i="16"/>
  <c r="D13" i="16"/>
  <c r="E13" i="16"/>
  <c r="F13" i="16"/>
  <c r="G13" i="16"/>
  <c r="H13" i="16"/>
  <c r="I13" i="16"/>
  <c r="J13" i="16"/>
  <c r="D14" i="16"/>
  <c r="E14" i="16"/>
  <c r="F14" i="16"/>
  <c r="G14" i="16"/>
  <c r="H14" i="16"/>
  <c r="I14" i="16"/>
  <c r="J14" i="16"/>
  <c r="C8" i="22"/>
  <c r="D8" i="22"/>
  <c r="E8" i="22"/>
  <c r="F8" i="22"/>
  <c r="G8" i="22"/>
  <c r="H8" i="22"/>
  <c r="I8" i="22"/>
  <c r="C9" i="22"/>
  <c r="D9" i="22"/>
  <c r="E9" i="22"/>
  <c r="F9" i="22"/>
  <c r="G9" i="22"/>
  <c r="H9" i="22"/>
  <c r="I9" i="22"/>
  <c r="C10" i="22"/>
  <c r="D10" i="22"/>
  <c r="E10" i="22"/>
  <c r="F10" i="22"/>
  <c r="G10" i="22"/>
  <c r="H10" i="22"/>
  <c r="I10" i="22"/>
  <c r="C11" i="22"/>
  <c r="D11" i="22"/>
  <c r="E11" i="22"/>
  <c r="F11" i="22"/>
  <c r="G11" i="22"/>
  <c r="H11" i="22"/>
  <c r="I11" i="22"/>
  <c r="C12" i="22"/>
  <c r="D12" i="22"/>
  <c r="E12" i="22"/>
  <c r="F12" i="22"/>
  <c r="G12" i="22"/>
  <c r="H12" i="22"/>
  <c r="I12" i="22"/>
  <c r="C13" i="22"/>
  <c r="D13" i="22"/>
  <c r="E13" i="22"/>
  <c r="F13" i="22"/>
  <c r="G13" i="22"/>
  <c r="H13" i="22"/>
  <c r="I13" i="22"/>
  <c r="C14" i="22"/>
  <c r="D14" i="22"/>
  <c r="E14" i="22"/>
  <c r="F14" i="22"/>
  <c r="G14" i="22"/>
  <c r="H14" i="22"/>
  <c r="I14" i="22"/>
  <c r="D8" i="23"/>
  <c r="E8" i="23"/>
  <c r="F8" i="23"/>
  <c r="G8" i="23"/>
  <c r="H8" i="23"/>
  <c r="D9" i="23"/>
  <c r="E9" i="23"/>
  <c r="F9" i="23"/>
  <c r="G9" i="23"/>
  <c r="H9" i="23"/>
  <c r="D10" i="23"/>
  <c r="E10" i="23"/>
  <c r="F10" i="23"/>
  <c r="G10" i="23"/>
  <c r="H10" i="23"/>
  <c r="D11" i="23"/>
  <c r="D12" i="23"/>
  <c r="E11" i="23"/>
  <c r="F11" i="23"/>
  <c r="G11" i="23"/>
  <c r="H11" i="23"/>
  <c r="E12" i="23"/>
  <c r="F12" i="23"/>
  <c r="G12" i="23"/>
  <c r="H12" i="23"/>
  <c r="C17" i="23"/>
  <c r="D17" i="23"/>
  <c r="E17" i="23"/>
  <c r="H17" i="23"/>
  <c r="I17" i="23"/>
  <c r="C18" i="23"/>
  <c r="D18" i="23"/>
  <c r="E18" i="23"/>
  <c r="H18" i="23"/>
  <c r="I18" i="23"/>
  <c r="C19" i="23"/>
  <c r="D19" i="23"/>
  <c r="E19" i="23"/>
  <c r="H19" i="23"/>
  <c r="I19" i="23"/>
  <c r="H25" i="23"/>
  <c r="H27" i="23"/>
  <c r="I25" i="23"/>
  <c r="I27" i="23" s="1"/>
  <c r="I29" i="23" s="1"/>
  <c r="C26" i="23"/>
  <c r="C24" i="23"/>
  <c r="C22" i="23" s="1"/>
  <c r="D26" i="23"/>
  <c r="D24" i="23" s="1"/>
  <c r="E26" i="23"/>
  <c r="J27" i="23"/>
  <c r="J19" i="23" s="1"/>
  <c r="D28" i="23"/>
  <c r="E28" i="23"/>
  <c r="E30" i="23"/>
  <c r="C9" i="18"/>
  <c r="D9" i="18"/>
  <c r="E9" i="18"/>
  <c r="F9" i="18"/>
  <c r="G9" i="18"/>
  <c r="H9" i="18"/>
  <c r="C10" i="18"/>
  <c r="D10" i="18"/>
  <c r="E10" i="18"/>
  <c r="F10" i="18"/>
  <c r="G10" i="18"/>
  <c r="H10" i="18"/>
  <c r="C11" i="18"/>
  <c r="C14" i="18"/>
  <c r="D11" i="18"/>
  <c r="E11" i="18"/>
  <c r="F11" i="18"/>
  <c r="G11" i="18"/>
  <c r="H11" i="18"/>
  <c r="C12" i="18"/>
  <c r="D12" i="18"/>
  <c r="E12" i="18"/>
  <c r="F12" i="18"/>
  <c r="G12" i="18"/>
  <c r="H12" i="18"/>
  <c r="C13" i="18"/>
  <c r="D13" i="18"/>
  <c r="E13" i="18"/>
  <c r="F13" i="18"/>
  <c r="G13" i="18"/>
  <c r="H13" i="18"/>
  <c r="D14" i="18"/>
  <c r="E14" i="18"/>
  <c r="F14" i="18"/>
  <c r="G14" i="18"/>
  <c r="H14" i="18"/>
  <c r="C8" i="20"/>
  <c r="D8" i="20"/>
  <c r="E8" i="20"/>
  <c r="F8" i="20"/>
  <c r="G8" i="20"/>
  <c r="H8" i="20"/>
  <c r="I8" i="20"/>
  <c r="C9" i="20"/>
  <c r="D9" i="20"/>
  <c r="E9" i="20"/>
  <c r="F9" i="20"/>
  <c r="G9" i="20"/>
  <c r="H9" i="20"/>
  <c r="I9" i="20"/>
  <c r="C10" i="20"/>
  <c r="D10" i="20"/>
  <c r="E10" i="20"/>
  <c r="F10" i="20"/>
  <c r="G10" i="20"/>
  <c r="H10" i="20"/>
  <c r="I10" i="20"/>
  <c r="C11" i="20"/>
  <c r="D11" i="20"/>
  <c r="E11" i="20"/>
  <c r="F11" i="20"/>
  <c r="G11" i="20"/>
  <c r="H11" i="20"/>
  <c r="I11" i="20"/>
  <c r="C12" i="20"/>
  <c r="D12" i="20"/>
  <c r="E12" i="20"/>
  <c r="F12" i="20"/>
  <c r="G12" i="20"/>
  <c r="H12" i="20"/>
  <c r="I12" i="20"/>
  <c r="C13" i="20"/>
  <c r="D13" i="20"/>
  <c r="E13" i="20"/>
  <c r="F13" i="20"/>
  <c r="G13" i="20"/>
  <c r="H13" i="20"/>
  <c r="I13" i="20"/>
  <c r="C14" i="20"/>
  <c r="D14" i="20"/>
  <c r="E14" i="20"/>
  <c r="F14" i="20"/>
  <c r="G14" i="20"/>
  <c r="H14" i="20"/>
  <c r="I14" i="20"/>
  <c r="B7" i="4"/>
  <c r="C7" i="4"/>
  <c r="D7" i="4"/>
  <c r="E7" i="4"/>
  <c r="F7" i="4"/>
  <c r="G7" i="4"/>
  <c r="H7" i="4"/>
  <c r="I7" i="4"/>
  <c r="J7" i="4"/>
  <c r="K7" i="4"/>
  <c r="L7" i="4"/>
  <c r="B8" i="4"/>
  <c r="C8" i="4"/>
  <c r="D8" i="4"/>
  <c r="E8" i="4"/>
  <c r="F8" i="4"/>
  <c r="G8" i="4"/>
  <c r="H8" i="4"/>
  <c r="I8" i="4"/>
  <c r="J8" i="4"/>
  <c r="K8" i="4"/>
  <c r="L8" i="4"/>
  <c r="B9" i="4"/>
  <c r="C9" i="4"/>
  <c r="D9" i="4"/>
  <c r="E9" i="4"/>
  <c r="F9" i="4"/>
  <c r="G9" i="4"/>
  <c r="H9" i="4"/>
  <c r="I9" i="4"/>
  <c r="J9" i="4"/>
  <c r="K9" i="4"/>
  <c r="L9" i="4"/>
  <c r="B10" i="4"/>
  <c r="C10" i="4"/>
  <c r="D10" i="4"/>
  <c r="E10" i="4"/>
  <c r="F10" i="4"/>
  <c r="G10" i="4"/>
  <c r="H10" i="4"/>
  <c r="I10" i="4"/>
  <c r="J10" i="4"/>
  <c r="K10" i="4"/>
  <c r="L10" i="4"/>
  <c r="B11" i="4"/>
  <c r="C11" i="4"/>
  <c r="D11" i="4"/>
  <c r="E11" i="4"/>
  <c r="F11" i="4"/>
  <c r="G11" i="4"/>
  <c r="H11" i="4"/>
  <c r="I11" i="4"/>
  <c r="J11" i="4"/>
  <c r="K11" i="4"/>
  <c r="L11" i="4"/>
  <c r="B12" i="4"/>
  <c r="C12" i="4"/>
  <c r="D12" i="4"/>
  <c r="E12" i="4"/>
  <c r="F12" i="4"/>
  <c r="G12" i="4"/>
  <c r="H12" i="4"/>
  <c r="I12" i="4"/>
  <c r="J12" i="4"/>
  <c r="K12" i="4"/>
  <c r="L12" i="4"/>
  <c r="B13" i="4"/>
  <c r="B14" i="4"/>
  <c r="C13" i="4"/>
  <c r="C16" i="4"/>
  <c r="D13" i="4"/>
  <c r="E13" i="4"/>
  <c r="F13" i="4"/>
  <c r="G13" i="4"/>
  <c r="H13" i="4"/>
  <c r="I13" i="4"/>
  <c r="J13" i="4"/>
  <c r="K13" i="4"/>
  <c r="L13" i="4"/>
  <c r="D14" i="4"/>
  <c r="E14" i="4"/>
  <c r="F14" i="4"/>
  <c r="G14" i="4"/>
  <c r="H14" i="4"/>
  <c r="I14" i="4"/>
  <c r="J14" i="4"/>
  <c r="K14" i="4"/>
  <c r="L14" i="4"/>
  <c r="B15" i="4"/>
  <c r="C15" i="4"/>
  <c r="D15" i="4"/>
  <c r="E15" i="4"/>
  <c r="F15" i="4"/>
  <c r="G15" i="4"/>
  <c r="H15" i="4"/>
  <c r="I15" i="4"/>
  <c r="J15" i="4"/>
  <c r="K15" i="4"/>
  <c r="L15" i="4"/>
  <c r="B16" i="4"/>
  <c r="D16" i="4"/>
  <c r="E16" i="4"/>
  <c r="F16" i="4"/>
  <c r="G16" i="4"/>
  <c r="H16" i="4"/>
  <c r="I16" i="4"/>
  <c r="J16" i="4"/>
  <c r="K16" i="4"/>
  <c r="L16" i="4"/>
  <c r="B17" i="4"/>
  <c r="C17" i="4"/>
  <c r="D17" i="4"/>
  <c r="E17" i="4"/>
  <c r="F17" i="4"/>
  <c r="G17" i="4"/>
  <c r="H17" i="4"/>
  <c r="I17" i="4"/>
  <c r="J17" i="4"/>
  <c r="K17" i="4"/>
  <c r="L17" i="4"/>
  <c r="C8" i="17"/>
  <c r="C11" i="17"/>
  <c r="D8" i="17"/>
  <c r="E8" i="17"/>
  <c r="F8" i="17"/>
  <c r="G8" i="17"/>
  <c r="H8" i="17"/>
  <c r="I8" i="17"/>
  <c r="J8" i="17"/>
  <c r="K8" i="17"/>
  <c r="L8" i="17"/>
  <c r="M8" i="17"/>
  <c r="C9" i="17"/>
  <c r="C15" i="17"/>
  <c r="D9" i="17"/>
  <c r="E9" i="17"/>
  <c r="F9" i="17"/>
  <c r="G9" i="17"/>
  <c r="H9" i="17"/>
  <c r="I9" i="17"/>
  <c r="J9" i="17"/>
  <c r="K9" i="17"/>
  <c r="L9" i="17"/>
  <c r="M9" i="17"/>
  <c r="C10" i="17"/>
  <c r="C17" i="17"/>
  <c r="D10" i="17"/>
  <c r="E10" i="17"/>
  <c r="F10" i="17"/>
  <c r="G10" i="17"/>
  <c r="H10" i="17"/>
  <c r="I10" i="17"/>
  <c r="J10" i="17"/>
  <c r="K10" i="17"/>
  <c r="L10" i="17"/>
  <c r="M10" i="17"/>
  <c r="D11" i="17"/>
  <c r="E11" i="17"/>
  <c r="F11" i="17"/>
  <c r="G11" i="17"/>
  <c r="H11" i="17"/>
  <c r="I11" i="17"/>
  <c r="J11" i="17"/>
  <c r="K11" i="17"/>
  <c r="L11" i="17"/>
  <c r="M11" i="17"/>
  <c r="C12" i="17"/>
  <c r="D12" i="17"/>
  <c r="E12" i="17"/>
  <c r="F12" i="17"/>
  <c r="G12" i="17"/>
  <c r="H12" i="17"/>
  <c r="I12" i="17"/>
  <c r="J12" i="17"/>
  <c r="K12" i="17"/>
  <c r="L12" i="17"/>
  <c r="M12" i="17"/>
  <c r="D13" i="17"/>
  <c r="E13" i="17"/>
  <c r="F13" i="17"/>
  <c r="G13" i="17"/>
  <c r="H13" i="17"/>
  <c r="I13" i="17"/>
  <c r="J13" i="17"/>
  <c r="K13" i="17"/>
  <c r="L13" i="17"/>
  <c r="M13" i="17"/>
  <c r="D14" i="17"/>
  <c r="E14" i="17"/>
  <c r="F14" i="17"/>
  <c r="G14" i="17"/>
  <c r="H14" i="17"/>
  <c r="I14" i="17"/>
  <c r="J14" i="17"/>
  <c r="K14" i="17"/>
  <c r="L14" i="17"/>
  <c r="M14" i="17"/>
  <c r="D15" i="17"/>
  <c r="E15" i="17"/>
  <c r="F15" i="17"/>
  <c r="G15" i="17"/>
  <c r="H15" i="17"/>
  <c r="I15" i="17"/>
  <c r="J15" i="17"/>
  <c r="K15" i="17"/>
  <c r="L15" i="17"/>
  <c r="M15" i="17"/>
  <c r="C16" i="17"/>
  <c r="D16" i="17"/>
  <c r="E16" i="17"/>
  <c r="F16" i="17"/>
  <c r="G16" i="17"/>
  <c r="H16" i="17"/>
  <c r="I16" i="17"/>
  <c r="J16" i="17"/>
  <c r="K16" i="17"/>
  <c r="L16" i="17"/>
  <c r="M16" i="17"/>
  <c r="D17" i="17"/>
  <c r="E17" i="17"/>
  <c r="F17" i="17"/>
  <c r="G17" i="17"/>
  <c r="H17" i="17"/>
  <c r="I17" i="17"/>
  <c r="J17" i="17"/>
  <c r="K17" i="17"/>
  <c r="L17" i="17"/>
  <c r="M17" i="17"/>
  <c r="D18" i="17"/>
  <c r="E18" i="17"/>
  <c r="F18" i="17"/>
  <c r="G18" i="17"/>
  <c r="H18" i="17"/>
  <c r="I18" i="17"/>
  <c r="J18" i="17"/>
  <c r="K18" i="17"/>
  <c r="L18" i="17"/>
  <c r="M18" i="17"/>
  <c r="C8" i="24"/>
  <c r="D8" i="24"/>
  <c r="E8" i="24"/>
  <c r="F8" i="24"/>
  <c r="G8" i="24"/>
  <c r="H8" i="24"/>
  <c r="I8" i="24"/>
  <c r="J8" i="24"/>
  <c r="K8" i="24"/>
  <c r="C9" i="24"/>
  <c r="D9" i="24"/>
  <c r="E9" i="24"/>
  <c r="F9" i="24"/>
  <c r="G9" i="24"/>
  <c r="H9" i="24"/>
  <c r="I9" i="24"/>
  <c r="J9" i="24"/>
  <c r="K9" i="24"/>
  <c r="C10" i="24"/>
  <c r="C12" i="24"/>
  <c r="D10" i="24"/>
  <c r="E10" i="24"/>
  <c r="F10" i="24"/>
  <c r="G10" i="24"/>
  <c r="H10" i="24"/>
  <c r="I10" i="24"/>
  <c r="J10" i="24"/>
  <c r="K10" i="24"/>
  <c r="D11" i="24"/>
  <c r="E11" i="24"/>
  <c r="F11" i="24"/>
  <c r="G11" i="24"/>
  <c r="H11" i="24"/>
  <c r="I11" i="24"/>
  <c r="J11" i="24"/>
  <c r="K11" i="24"/>
  <c r="D12" i="24"/>
  <c r="E12" i="24"/>
  <c r="F12" i="24"/>
  <c r="G12" i="24"/>
  <c r="H12" i="24"/>
  <c r="I12" i="24"/>
  <c r="J12" i="24"/>
  <c r="K12" i="24"/>
  <c r="D13" i="24"/>
  <c r="E13" i="24"/>
  <c r="F13" i="24"/>
  <c r="G13" i="24"/>
  <c r="H13" i="24"/>
  <c r="I13" i="24"/>
  <c r="J13" i="24"/>
  <c r="K13" i="24"/>
  <c r="C14" i="24"/>
  <c r="D14" i="24"/>
  <c r="E14" i="24"/>
  <c r="F14" i="24"/>
  <c r="G14" i="24"/>
  <c r="H14" i="24"/>
  <c r="I14" i="24"/>
  <c r="J14" i="24"/>
  <c r="K14" i="24"/>
  <c r="D15" i="24"/>
  <c r="E15" i="24"/>
  <c r="F15" i="24"/>
  <c r="G15" i="24"/>
  <c r="H15" i="24"/>
  <c r="I15" i="24"/>
  <c r="J15" i="24"/>
  <c r="K15" i="24"/>
  <c r="D16" i="24"/>
  <c r="E16" i="24"/>
  <c r="F16" i="24"/>
  <c r="G16" i="24"/>
  <c r="H16" i="24"/>
  <c r="I16" i="24"/>
  <c r="J16" i="24"/>
  <c r="K16" i="24"/>
  <c r="C7" i="3"/>
  <c r="D7" i="3"/>
  <c r="E7" i="3"/>
  <c r="F7" i="3"/>
  <c r="G7" i="3"/>
  <c r="C8" i="3"/>
  <c r="D8" i="3"/>
  <c r="E8" i="3"/>
  <c r="F8" i="3"/>
  <c r="G8" i="3"/>
  <c r="C9" i="3"/>
  <c r="D9" i="3"/>
  <c r="E9" i="3"/>
  <c r="F9" i="3"/>
  <c r="G9" i="3"/>
  <c r="C10" i="3"/>
  <c r="D10" i="3"/>
  <c r="E10" i="3"/>
  <c r="F10" i="3"/>
  <c r="G10" i="3"/>
  <c r="C11" i="3"/>
  <c r="D11" i="3"/>
  <c r="E11" i="3"/>
  <c r="F11" i="3"/>
  <c r="G11" i="3"/>
  <c r="C8" i="21"/>
  <c r="C9" i="21"/>
  <c r="D8" i="21"/>
  <c r="E8" i="21"/>
  <c r="F8" i="21"/>
  <c r="G8" i="21"/>
  <c r="H8" i="21"/>
  <c r="D9" i="21"/>
  <c r="E9" i="21"/>
  <c r="F9" i="21"/>
  <c r="G9" i="21"/>
  <c r="H9" i="21"/>
  <c r="C10" i="21"/>
  <c r="D10" i="21"/>
  <c r="E10" i="21"/>
  <c r="F10" i="21"/>
  <c r="G10" i="21"/>
  <c r="H10" i="21"/>
  <c r="C11" i="21"/>
  <c r="D11" i="21"/>
  <c r="E11" i="21"/>
  <c r="F11" i="21"/>
  <c r="G11" i="21"/>
  <c r="H11" i="21"/>
  <c r="C12" i="21"/>
  <c r="D12" i="21"/>
  <c r="E12" i="21"/>
  <c r="F12" i="21"/>
  <c r="G12" i="21"/>
  <c r="H12" i="21"/>
  <c r="C13" i="21"/>
  <c r="D13" i="21"/>
  <c r="E13" i="21"/>
  <c r="F13" i="21"/>
  <c r="G13" i="21"/>
  <c r="H13" i="21"/>
  <c r="C7" i="19"/>
  <c r="D7" i="19"/>
  <c r="E7" i="19"/>
  <c r="C8" i="19"/>
  <c r="D8" i="19"/>
  <c r="E8" i="19"/>
  <c r="C9" i="19"/>
  <c r="D9" i="19"/>
  <c r="E9" i="19"/>
  <c r="H23" i="23"/>
  <c r="C15" i="24"/>
  <c r="C11" i="24"/>
  <c r="C13" i="17"/>
  <c r="C14" i="17"/>
  <c r="C18" i="17"/>
  <c r="C13" i="24"/>
  <c r="C16" i="24"/>
  <c r="C12" i="16"/>
  <c r="C14" i="16"/>
  <c r="C13" i="16"/>
  <c r="C14" i="4"/>
  <c r="J29" i="23" l="1"/>
  <c r="J31" i="23" l="1"/>
  <c r="J17" i="23" s="1"/>
  <c r="J18" i="23"/>
</calcChain>
</file>

<file path=xl/sharedStrings.xml><?xml version="1.0" encoding="utf-8"?>
<sst xmlns="http://schemas.openxmlformats.org/spreadsheetml/2006/main" count="1051" uniqueCount="846">
  <si>
    <t>NIEKTÓRE STAŁE ASTRONOMICZNE</t>
  </si>
  <si>
    <t>jednostka astronomiczna</t>
  </si>
  <si>
    <t>nachylenie ekliptyki do równika (2000)</t>
  </si>
  <si>
    <t>promień równikowy Ziemi</t>
  </si>
  <si>
    <t>masa Ziemii</t>
  </si>
  <si>
    <t>masa Słońca</t>
  </si>
  <si>
    <t>promień Słońca</t>
  </si>
  <si>
    <t>średnia odległość Księżyca od Ziemii</t>
  </si>
  <si>
    <t>spłaszczenie biegunowe Ziemii</t>
  </si>
  <si>
    <t>promień Księżyca</t>
  </si>
  <si>
    <t>masa Księżyca</t>
  </si>
  <si>
    <t>parsek</t>
  </si>
  <si>
    <t>149 597 870 km</t>
  </si>
  <si>
    <t>23*26'21",448</t>
  </si>
  <si>
    <t>6 378 140 m</t>
  </si>
  <si>
    <t>1/298,257 = 0,002253</t>
  </si>
  <si>
    <t>696 000 km</t>
  </si>
  <si>
    <t>384 400 km</t>
  </si>
  <si>
    <t>1738 km</t>
  </si>
  <si>
    <t>PRZELICZANIE JEDNOSTEK</t>
  </si>
  <si>
    <t>Prędkości</t>
  </si>
  <si>
    <t>Odległości</t>
  </si>
  <si>
    <t>kable/min</t>
  </si>
  <si>
    <t>km/h</t>
  </si>
  <si>
    <t>m/min</t>
  </si>
  <si>
    <t>m/s</t>
  </si>
  <si>
    <t>węzły</t>
  </si>
  <si>
    <t>Spis tresci</t>
  </si>
  <si>
    <t>kilometry</t>
  </si>
  <si>
    <t>metry</t>
  </si>
  <si>
    <t>mile morskie</t>
  </si>
  <si>
    <t>kable morskie</t>
  </si>
  <si>
    <t>stopy</t>
  </si>
  <si>
    <t>sążnie</t>
  </si>
  <si>
    <t>cale</t>
  </si>
  <si>
    <t>mila angielska</t>
  </si>
  <si>
    <t>jard angielski</t>
  </si>
  <si>
    <t>TABLICE</t>
  </si>
  <si>
    <t>Gwiazdy nieba północnego</t>
  </si>
  <si>
    <t>Gwiazdy nieba południowego</t>
  </si>
  <si>
    <t>stopnie</t>
  </si>
  <si>
    <t>nazwa rumbu</t>
  </si>
  <si>
    <t>Róża wiatrów</t>
  </si>
  <si>
    <t>nr rumbu</t>
  </si>
  <si>
    <t>system połówkowy</t>
  </si>
  <si>
    <t>N</t>
  </si>
  <si>
    <t>NbE</t>
  </si>
  <si>
    <t>NNE</t>
  </si>
  <si>
    <t>NEbN</t>
  </si>
  <si>
    <t>NE</t>
  </si>
  <si>
    <t>NEbE</t>
  </si>
  <si>
    <t>ENE</t>
  </si>
  <si>
    <t>EbN</t>
  </si>
  <si>
    <t>E</t>
  </si>
  <si>
    <t>EbS</t>
  </si>
  <si>
    <t>ESE</t>
  </si>
  <si>
    <t>SEbE</t>
  </si>
  <si>
    <t>SE</t>
  </si>
  <si>
    <t>SEbS</t>
  </si>
  <si>
    <t>SSE</t>
  </si>
  <si>
    <t>SbE</t>
  </si>
  <si>
    <t>S</t>
  </si>
  <si>
    <t>SbW</t>
  </si>
  <si>
    <t>SSW</t>
  </si>
  <si>
    <t>SWbS</t>
  </si>
  <si>
    <t>SW</t>
  </si>
  <si>
    <t>SWbW</t>
  </si>
  <si>
    <t>WSW</t>
  </si>
  <si>
    <t>WbS</t>
  </si>
  <si>
    <t>W</t>
  </si>
  <si>
    <t>WbN</t>
  </si>
  <si>
    <t>WNW</t>
  </si>
  <si>
    <t>NWbW</t>
  </si>
  <si>
    <t>NW</t>
  </si>
  <si>
    <t>NWbN</t>
  </si>
  <si>
    <t>NNW</t>
  </si>
  <si>
    <t>NbW</t>
  </si>
  <si>
    <t>N       0</t>
  </si>
  <si>
    <t>N     11,25</t>
  </si>
  <si>
    <t>N     22,5</t>
  </si>
  <si>
    <t>N     33,75</t>
  </si>
  <si>
    <t>N     45</t>
  </si>
  <si>
    <t>N     56,25</t>
  </si>
  <si>
    <t>N     67,5</t>
  </si>
  <si>
    <t>N     78,75</t>
  </si>
  <si>
    <t>N     90</t>
  </si>
  <si>
    <t>N   101,25</t>
  </si>
  <si>
    <t>N   112,5</t>
  </si>
  <si>
    <t>N   123,75</t>
  </si>
  <si>
    <t>N   135</t>
  </si>
  <si>
    <t>N   146,25</t>
  </si>
  <si>
    <t>N   157,5</t>
  </si>
  <si>
    <t>N   168,75</t>
  </si>
  <si>
    <t>N   180</t>
  </si>
  <si>
    <t>S        0</t>
  </si>
  <si>
    <t>S     11,25</t>
  </si>
  <si>
    <t>S     22,5</t>
  </si>
  <si>
    <t>S     33,75</t>
  </si>
  <si>
    <t>S     45</t>
  </si>
  <si>
    <t>S     67,5</t>
  </si>
  <si>
    <t>S     78,75</t>
  </si>
  <si>
    <t>S     56,25</t>
  </si>
  <si>
    <t>S     90</t>
  </si>
  <si>
    <t>S   101,25</t>
  </si>
  <si>
    <t>S   112,5</t>
  </si>
  <si>
    <t>S   123,75</t>
  </si>
  <si>
    <t>S   135</t>
  </si>
  <si>
    <t>S   146,25</t>
  </si>
  <si>
    <t>S   157,5</t>
  </si>
  <si>
    <t>S   168,75</t>
  </si>
  <si>
    <t>S   180</t>
  </si>
  <si>
    <t>NE     22,5</t>
  </si>
  <si>
    <t>NE     33,75</t>
  </si>
  <si>
    <t>NE     45</t>
  </si>
  <si>
    <t>NE     56,25</t>
  </si>
  <si>
    <t>NE     67,5</t>
  </si>
  <si>
    <t>NE     78,75</t>
  </si>
  <si>
    <t>NE     11,25</t>
  </si>
  <si>
    <t>NE       0</t>
  </si>
  <si>
    <t>SE       0</t>
  </si>
  <si>
    <t>SE     11,25</t>
  </si>
  <si>
    <t>SE     22,5</t>
  </si>
  <si>
    <t>SE     33,75</t>
  </si>
  <si>
    <t>SE     45</t>
  </si>
  <si>
    <t>SE     56,25</t>
  </si>
  <si>
    <t>SE     67,5</t>
  </si>
  <si>
    <t>SE     78,75</t>
  </si>
  <si>
    <t>SW       0</t>
  </si>
  <si>
    <t>SW     11,25</t>
  </si>
  <si>
    <t>SW     22,5</t>
  </si>
  <si>
    <t>SW     33,75</t>
  </si>
  <si>
    <t>SW     45</t>
  </si>
  <si>
    <t>SW     56,25</t>
  </si>
  <si>
    <t>SW     67,5</t>
  </si>
  <si>
    <t>SW     78,75</t>
  </si>
  <si>
    <t>SW      90</t>
  </si>
  <si>
    <t>SE      90</t>
  </si>
  <si>
    <t>NE      90</t>
  </si>
  <si>
    <t>NW       0</t>
  </si>
  <si>
    <t>NW     11,25</t>
  </si>
  <si>
    <t>NW     22,5</t>
  </si>
  <si>
    <t>NW     33,75</t>
  </si>
  <si>
    <t>NW     45</t>
  </si>
  <si>
    <t>NW     56,25</t>
  </si>
  <si>
    <t>NW     67,5</t>
  </si>
  <si>
    <t>NW     78,75</t>
  </si>
  <si>
    <t>NW      90</t>
  </si>
  <si>
    <t>kable artyleryjskie</t>
  </si>
  <si>
    <t>centymetry</t>
  </si>
  <si>
    <t>system ćwiartkowy</t>
  </si>
  <si>
    <t>Przedrostki</t>
  </si>
  <si>
    <t>przedrostek</t>
  </si>
  <si>
    <t>oznaczenie</t>
  </si>
  <si>
    <t>mnożnik</t>
  </si>
  <si>
    <t>zera</t>
  </si>
  <si>
    <t>eksa</t>
  </si>
  <si>
    <t>peta</t>
  </si>
  <si>
    <t>tera</t>
  </si>
  <si>
    <t>giga</t>
  </si>
  <si>
    <t>mega</t>
  </si>
  <si>
    <t>kilo</t>
  </si>
  <si>
    <t>hekto</t>
  </si>
  <si>
    <t>deka</t>
  </si>
  <si>
    <t>decy</t>
  </si>
  <si>
    <t>centy</t>
  </si>
  <si>
    <t>mili</t>
  </si>
  <si>
    <t>mikro</t>
  </si>
  <si>
    <t>nano</t>
  </si>
  <si>
    <t>piko</t>
  </si>
  <si>
    <t>femto</t>
  </si>
  <si>
    <t>atto</t>
  </si>
  <si>
    <t>P</t>
  </si>
  <si>
    <t>T</t>
  </si>
  <si>
    <t>G</t>
  </si>
  <si>
    <t>M</t>
  </si>
  <si>
    <t>k</t>
  </si>
  <si>
    <t>h</t>
  </si>
  <si>
    <t>da</t>
  </si>
  <si>
    <t>d</t>
  </si>
  <si>
    <t>c</t>
  </si>
  <si>
    <t>m</t>
  </si>
  <si>
    <t>n</t>
  </si>
  <si>
    <t>p</t>
  </si>
  <si>
    <t>f</t>
  </si>
  <si>
    <t>a</t>
  </si>
  <si>
    <t>Przedrostek (oznaczenie) dołącza się do nazwy (oznaczenia) jednostki miary, umieszczając go bezpośrednio przed nazwą (oznaczeniem) jednostki miary, bez przerwy odzielającej np. milisekunda=ms</t>
  </si>
  <si>
    <t>uwaga</t>
  </si>
  <si>
    <t>Skala Beauforta</t>
  </si>
  <si>
    <t>Wygląd powierzchni morza</t>
  </si>
  <si>
    <t>Stopień skali stanu morza</t>
  </si>
  <si>
    <t>określenie słowne skali stanu morza</t>
  </si>
  <si>
    <t>Określenie stopni skali Beauforta</t>
  </si>
  <si>
    <t>Stopień skali Beauforta</t>
  </si>
  <si>
    <t>Ekwiwalent prędkości wiatru na wysokości 10 m n.p.m.</t>
  </si>
  <si>
    <t>polskie</t>
  </si>
  <si>
    <t>angielskie</t>
  </si>
  <si>
    <t>Przeciętna (maksymalna) wysokość fal</t>
  </si>
  <si>
    <t>cisza</t>
  </si>
  <si>
    <t>powiew</t>
  </si>
  <si>
    <t>słaby wiatr</t>
  </si>
  <si>
    <t>łagodny wiatr</t>
  </si>
  <si>
    <t>uniarkowany wiatr</t>
  </si>
  <si>
    <t>dość silny wiatr</t>
  </si>
  <si>
    <t>sily wiatr</t>
  </si>
  <si>
    <t>bardzo silny wiatr</t>
  </si>
  <si>
    <t>sztorm</t>
  </si>
  <si>
    <t>silny sztorm</t>
  </si>
  <si>
    <t>bardzo silny sztorm</t>
  </si>
  <si>
    <t>gwałtowny sztorm</t>
  </si>
  <si>
    <t>huragan</t>
  </si>
  <si>
    <t>calm</t>
  </si>
  <si>
    <t>light air</t>
  </si>
  <si>
    <t>light greeze</t>
  </si>
  <si>
    <t>gebtle breeze</t>
  </si>
  <si>
    <t>moderate breeze</t>
  </si>
  <si>
    <t>fresh breeze</t>
  </si>
  <si>
    <t>strong breeze</t>
  </si>
  <si>
    <t>near gale</t>
  </si>
  <si>
    <t>gale</t>
  </si>
  <si>
    <t>strong gale</t>
  </si>
  <si>
    <t>storm</t>
  </si>
  <si>
    <t>violent storm</t>
  </si>
  <si>
    <t>hurricane</t>
  </si>
  <si>
    <t>&gt;32,6</t>
  </si>
  <si>
    <t>1~3</t>
  </si>
  <si>
    <t>4~6</t>
  </si>
  <si>
    <t>7~10</t>
  </si>
  <si>
    <t>11~15</t>
  </si>
  <si>
    <t>16~21</t>
  </si>
  <si>
    <t>22~27</t>
  </si>
  <si>
    <t>28~33</t>
  </si>
  <si>
    <t>34~40</t>
  </si>
  <si>
    <t>41~47</t>
  </si>
  <si>
    <t>48~55</t>
  </si>
  <si>
    <t>56~63</t>
  </si>
  <si>
    <t>&gt;63</t>
  </si>
  <si>
    <t>morze gładkie jak lustro</t>
  </si>
  <si>
    <t>tworzą się zmarszczki o wyglądzie łusek bez żadnej piany</t>
  </si>
  <si>
    <t>zupełnie drobne, krótkie, lecz już wyraźniejsze fale; ich grzbiety mają wygląd szklisty; nie załamują się</t>
  </si>
  <si>
    <t>bardzo małe fale; ich grzbiety zaczynają się już załamywać, lecz piana ma jeszcze wygląd szklisty; sporadycznie pojawiają się białe grzebienie</t>
  </si>
  <si>
    <t>małe fale zaczynają się wydłużać, pojawia się sporo białych grzebieni</t>
  </si>
  <si>
    <t>fale średniej wielkości ulegają wyraźnemu wydłużeniu; dużo białych grzebieni; miejscami występują pojedyncze bryzgi</t>
  </si>
  <si>
    <t>zaczynają się tworzyć duże fale; ich białe, pieniste grzbiety przyjmują wszędzie większe rozmiary; na ogół występują bryzgi</t>
  </si>
  <si>
    <t>fale się piętrzą; zdmuchiwana z łamiących się grzbietów piana zaczyna się układać pasmami wzdłuż kierunku wiatru</t>
  </si>
  <si>
    <t>dość wysokie fale o większej długości, ich wierzchołki zaczynają się odrywać w postaci wirujących bryzgów; piana układa się wzdłuż kierunku wiatru w wyraźnie zaznaczające się pasma</t>
  </si>
  <si>
    <t>wysokie fale, gęste pasma piany układające się wzdłuż kierunku wiatru; spiętrzone grzbiety fal przewalają się i toną; bryzgi mogą zmniejszyć widzialność</t>
  </si>
  <si>
    <t>bardzo wysokie fale o długich przelewających się grzbietach; duże płaty piany układają się w gęste, białe pasma wzdłuż kierunku wiatru; cała powierzchnia morza wydaje się biała; przewracanie się i toczenie fal staję się ciężkie i gwałtowne; widzialność zmniejszona</t>
  </si>
  <si>
    <t>wyjątkowo wysokie fale (małe i średnie okręty chwilami zupełnie nikną z oczu wśród fal); morze całkowicie pokryte długimi, białymi płatami piany, układającymi się wzdłuż kierunku wiatru; wiatr wszędzie porywa i rozpyla wierzchołki fal; widzialność zmniejszona</t>
  </si>
  <si>
    <t>powietrze wypełnione pianą i bryzgami; morze zupełnie białe od pyłu wodnego; widzialność bardzo ograniczona</t>
  </si>
  <si>
    <t>0,1 (0,1)</t>
  </si>
  <si>
    <t>0,6 (1,0)</t>
  </si>
  <si>
    <t>0,2 (0,30</t>
  </si>
  <si>
    <t>1 (1,5)</t>
  </si>
  <si>
    <t>2 (2,5)</t>
  </si>
  <si>
    <t>3 (4)</t>
  </si>
  <si>
    <t>4 (5,5)</t>
  </si>
  <si>
    <t>5,5 (7,5)</t>
  </si>
  <si>
    <t>7 (10)</t>
  </si>
  <si>
    <t>9 (12,5)</t>
  </si>
  <si>
    <t>11,5 (16)</t>
  </si>
  <si>
    <t>gładź</t>
  </si>
  <si>
    <t>morze pomarszczone</t>
  </si>
  <si>
    <t>drobne fale</t>
  </si>
  <si>
    <t>mała fala</t>
  </si>
  <si>
    <t>umiarkowana fala</t>
  </si>
  <si>
    <t>średnia fala</t>
  </si>
  <si>
    <t>duża fala</t>
  </si>
  <si>
    <t>wielka fala</t>
  </si>
  <si>
    <t>bardzo wielka fala</t>
  </si>
  <si>
    <t>niezwykle wielka fala</t>
  </si>
  <si>
    <t>calm- glassy</t>
  </si>
  <si>
    <t>calmrip</t>
  </si>
  <si>
    <t>smooth- wawelets</t>
  </si>
  <si>
    <t>slight</t>
  </si>
  <si>
    <t>moderate</t>
  </si>
  <si>
    <t>rough</t>
  </si>
  <si>
    <t>very rough</t>
  </si>
  <si>
    <t>high</t>
  </si>
  <si>
    <t>very high</t>
  </si>
  <si>
    <t>phenomenal</t>
  </si>
  <si>
    <t>0 ~      0,2</t>
  </si>
  <si>
    <t>0,3 ~   1,5</t>
  </si>
  <si>
    <t>1,6 ~   3,3</t>
  </si>
  <si>
    <t>3,4 ~   5,4</t>
  </si>
  <si>
    <t>5,5 ~   7,9</t>
  </si>
  <si>
    <t>8,0 ~ 10,7</t>
  </si>
  <si>
    <t>10,8 ~ 13,8</t>
  </si>
  <si>
    <t>13,9 ~ 17,1</t>
  </si>
  <si>
    <t>17,2 ~ 20,7</t>
  </si>
  <si>
    <t>20,8 ~  24,4</t>
  </si>
  <si>
    <t>24,5 ~ 28,4</t>
  </si>
  <si>
    <t>28,5 ~ 32,6</t>
  </si>
  <si>
    <t>jednostka miary</t>
  </si>
  <si>
    <t>nazwa</t>
  </si>
  <si>
    <t>definicja</t>
  </si>
  <si>
    <t>uwagi</t>
  </si>
  <si>
    <t>wielkość</t>
  </si>
  <si>
    <t>długość i odległość</t>
  </si>
  <si>
    <t>czas</t>
  </si>
  <si>
    <t>temperatura</t>
  </si>
  <si>
    <t>masa</t>
  </si>
  <si>
    <t>kąt płaski</t>
  </si>
  <si>
    <t>kąt bryłowy</t>
  </si>
  <si>
    <t>liczność materii</t>
  </si>
  <si>
    <t>światłość</t>
  </si>
  <si>
    <t>strumień świetlny</t>
  </si>
  <si>
    <t>natężenie oświetlenia</t>
  </si>
  <si>
    <t>ciśnienie</t>
  </si>
  <si>
    <t>siła</t>
  </si>
  <si>
    <t>moment siły</t>
  </si>
  <si>
    <t>energia, praca</t>
  </si>
  <si>
    <t>moc</t>
  </si>
  <si>
    <t>powierzchnia</t>
  </si>
  <si>
    <t>objętość</t>
  </si>
  <si>
    <t>gęstość</t>
  </si>
  <si>
    <t>prędkość liniowa</t>
  </si>
  <si>
    <t>prędkość kątowa</t>
  </si>
  <si>
    <t>przyśpieszenie liniowe</t>
  </si>
  <si>
    <t>pęd</t>
  </si>
  <si>
    <t>częstotliwość</t>
  </si>
  <si>
    <t>pojemność cieplna</t>
  </si>
  <si>
    <t>ciepło właściwe</t>
  </si>
  <si>
    <t>gradient temperatury</t>
  </si>
  <si>
    <t>gęstość prądu elektrycznego</t>
  </si>
  <si>
    <t>metr</t>
  </si>
  <si>
    <t>sekunda</t>
  </si>
  <si>
    <t>kilogram</t>
  </si>
  <si>
    <t>radian</t>
  </si>
  <si>
    <t>steradian</t>
  </si>
  <si>
    <t>mol</t>
  </si>
  <si>
    <t>kandela</t>
  </si>
  <si>
    <t>lumen</t>
  </si>
  <si>
    <t>luks</t>
  </si>
  <si>
    <t>paskal</t>
  </si>
  <si>
    <t>niuton</t>
  </si>
  <si>
    <t>niutonometr</t>
  </si>
  <si>
    <t>dżul</t>
  </si>
  <si>
    <t>wat</t>
  </si>
  <si>
    <t>metr kwadratowy</t>
  </si>
  <si>
    <t>metr sześcienny</t>
  </si>
  <si>
    <t>kilogram na metr sześcienny</t>
  </si>
  <si>
    <t>metr na sekundę</t>
  </si>
  <si>
    <t>radian na sekundę</t>
  </si>
  <si>
    <t>metr na kwadrat sekundy</t>
  </si>
  <si>
    <t>kilogramometr na sekundę</t>
  </si>
  <si>
    <t>herz</t>
  </si>
  <si>
    <t>dżul na kelwin</t>
  </si>
  <si>
    <t>dżul na kilogram i kelwin</t>
  </si>
  <si>
    <t>kelwin na metr</t>
  </si>
  <si>
    <t>amper</t>
  </si>
  <si>
    <t>amper na metr kwadratowy</t>
  </si>
  <si>
    <t>kelwin</t>
  </si>
  <si>
    <t>s</t>
  </si>
  <si>
    <t>K</t>
  </si>
  <si>
    <t>kg</t>
  </si>
  <si>
    <t>rad.</t>
  </si>
  <si>
    <t>sr</t>
  </si>
  <si>
    <t>cd</t>
  </si>
  <si>
    <t>lm</t>
  </si>
  <si>
    <t>lx</t>
  </si>
  <si>
    <t>Pa</t>
  </si>
  <si>
    <t>N*m</t>
  </si>
  <si>
    <t>J</t>
  </si>
  <si>
    <t>rad/s</t>
  </si>
  <si>
    <t>kg*m/s</t>
  </si>
  <si>
    <t>Hz</t>
  </si>
  <si>
    <t>J/K</t>
  </si>
  <si>
    <t>J(kg*K)</t>
  </si>
  <si>
    <t>K/m</t>
  </si>
  <si>
    <t>A</t>
  </si>
  <si>
    <t>ładunek elektryczny</t>
  </si>
  <si>
    <t>kolumb</t>
  </si>
  <si>
    <t>C</t>
  </si>
  <si>
    <t>napięcie elektryczne</t>
  </si>
  <si>
    <t>wolt</t>
  </si>
  <si>
    <t>V</t>
  </si>
  <si>
    <t>pole elektryczne</t>
  </si>
  <si>
    <t>wolt na metr</t>
  </si>
  <si>
    <t>V/m</t>
  </si>
  <si>
    <t>pojemność elektryczna</t>
  </si>
  <si>
    <t>farad</t>
  </si>
  <si>
    <t>F</t>
  </si>
  <si>
    <t>opór elektrychny</t>
  </si>
  <si>
    <t>om</t>
  </si>
  <si>
    <t>przewodność elektryczna</t>
  </si>
  <si>
    <t>simes</t>
  </si>
  <si>
    <t>strumień magnetyczny</t>
  </si>
  <si>
    <t>weber</t>
  </si>
  <si>
    <t>Wb</t>
  </si>
  <si>
    <t>indukcja magnetyczna</t>
  </si>
  <si>
    <t>tesla</t>
  </si>
  <si>
    <t>indukcyjność</t>
  </si>
  <si>
    <t>henr</t>
  </si>
  <si>
    <t>H</t>
  </si>
  <si>
    <t>Metr jest to długość równa 1650763,73 długości fali w próżni promieniowania odpowiadającego przejściu między poziomami 2p10 a 5d9 atomu 86Kr (kryptonu 86)</t>
  </si>
  <si>
    <t>Sekunda jest to czas równy 9 192 631 770 okresów promieniowania odpowiadającego przejściu między dwoma nadsubtelnymi poziomami stanu podstawowego atomu 133Cs (cezu 136)</t>
  </si>
  <si>
    <t>Kelwin jest to 1/273,16 temperatury termodynamicznej punktu potrójnego wody</t>
  </si>
  <si>
    <t>Kilogram jest to masa międzynarodowego wzorca tej jednostki masy przechowywanego w Międzynarodowym Biurze Miar w Sevres</t>
  </si>
  <si>
    <t>Radian jest to kąt płaski, zawarty między dwoma promieniami koła, wycinającymi z jego okręgu łuk o długości równej promieniowi koła</t>
  </si>
  <si>
    <t>Steradian jest to kąt bryłowy o wierzchołku w środku kuli, wycinający z jej powierzchni część równą powierzchni kwadratu o boku równym promieniowi tego koła</t>
  </si>
  <si>
    <t>Mol jest to liczność materii występująca, gdy liczba cząsteczek jest równa liczbie atomów zawartych w masie 0,012kg (kilograma) 12C (węgla 12)</t>
  </si>
  <si>
    <t>Lumen jest to strumień świetlny wysyłany w kącie bryłowym 1 sr (steradian) przez punktowe źródło światła o światłości 1 cd (kandela)                                               1 lm = 1 cd * 1 sr</t>
  </si>
  <si>
    <t>Niutonometr jest to moment siły 1 N (niuton) względem punktu położonego w odległości 1 m (metr) od kierunku działania tej siły                                           1 N * m = 1 N * 1 m</t>
  </si>
  <si>
    <t>Dżul jest to energia równa pracy wykonanej przez siłę 1 N (niuton) w kierunku jej działania na drodze o długości                                                        1 m (metr) 1 J = 1 N * 1 m</t>
  </si>
  <si>
    <t>Wat jest to moc, przy której praca 1 J (dżul) wykonana jest w czasie  1 s (sekunda)                                                                                                                1 W = 1 J : (1 s)</t>
  </si>
  <si>
    <t>Metr na sekundę jest jest to prędkość liniowa, z jaką poruszający się punkt przebywa drogę o długości 1 m (metr) w czasie 1 s (sekunda)                       1 m/s = 1 m : (1 s)</t>
  </si>
  <si>
    <t>Radian na sekundę jest to  prędkość kątowa, z jaką poruszający się po okręgu koła punkt zakreśla łuk odpowiadający kątowi 1 rad (radian) w czasie 1 s (sekunda)                                                                                             1 rad/s = 1 rad : (1 s)</t>
  </si>
  <si>
    <t>Kilogramometr na sekundę jest to pęd ciała o masie 1 kg (kilogram) poruszającego się z prędkością 1 m/s (metr na sekundę)                               1 kg * m/s = 1 kg * (1 m/s)</t>
  </si>
  <si>
    <t>Herz jest to częstotliwość zjawiska okresowego, którego okres jest równy 1 s (sekunda)                                                                                                                1 Hz = 1 : (1 s)</t>
  </si>
  <si>
    <t>Dżul na kelwin jest to pojemność ciepła, którego temperatura wzrasta o 1 K  (kelwin) po pochłonięciu przez nią energii cieplnej 1 J (dżul)                           1 J/K = 1 J : (1 K)</t>
  </si>
  <si>
    <t>Dżul na kilogram i kelwin jest to ciepło właściwe ciała o masie  1 kg (kilogram) i o pojemności cieplnej 1 J/K (dżul na kelwin)                                  1 J/kg * K = (1 J/K) : (1 kg)</t>
  </si>
  <si>
    <t>Kelwin na metr jest to gradient temperatury, przy którym w środowisku jednorodnym występuje różnica temperatur 1 K (kelwin) między dwoma punktami odległymi od siebie o 1 m (metr)                                                        1 K/m = 1 K : (1 m)</t>
  </si>
  <si>
    <t>Kolumb jest to ładunek elektryczny przepływający w czasie 1 s (sekundy) przez powierzchnię, gdy prąd elektryczny płynący przez tę powierzchnię wynosi 1 A (amper)                                                                                               1 C = 1 A * 1 s</t>
  </si>
  <si>
    <t>Wolt jest to napięcie elektryczne występujące między dwiema powierzchniami ekwipotencjalnymi jednorodego przewodu prostoliniowego, w którym płynie nie zmieniający się prąd 1 A (amper), a moc wydzielona przez przewód, między tymi powierzchniami jest równa 1 W (wat)                                                                                                                                         1 V = 1 W : (1 A)</t>
  </si>
  <si>
    <t>Wolt na metr jest to równomierne pole elektryczne, w którym różnica potencjałów między dwiema płaszczyznami ekwipotencjalnymi odległymi od siebie o 1 m (metr) wynosi 1 V (wolt)                                                                  1 V/m = 1 V : (1 m)</t>
  </si>
  <si>
    <t>Farad jest to pojemność elektryczna, jaką ma kondensator, w którym między elektrodami występuje napięcie elektryczne 1 V (wolt), gdy znajdują się na nich różnoimienne ładunki elektrychne o wartości 1 C (kolumd) każdy                                                                                                                                                          1 F = 1 C : (1 V)</t>
  </si>
  <si>
    <t>Weber jest to strumień magnetyczny, który malejąc jednostajnie do zera w czasie 1 s (sekunda) indukuje siłę elektromotoryczną 1 V (wolt) w obejmującym ten strumień magnetyczny obwodzie zamkniętym jednozwojowym wykonanym z przewodu o przekroju kołowym znikomo małym                                                                                                                        1 Wb = 1 V * 1 s</t>
  </si>
  <si>
    <t>Tesla jest to indukcja magnetyczna pola magnetycznego równomiernego, przy której na przekrój poprzeczny 1 m^2 (metr kwadratowy) przypada strumień magnetyczny 1 Wb (weber)                                                                     1 T = 1 Wb : (1 m^2)</t>
  </si>
  <si>
    <t>Henr jest to indukcyjność obwodu, w którym indukuje się siła elektromotoryczna 1 V (wolt), gdy prąd elektryczny płynąc w tym pbwodzie zmienia się jednostajnie o 1 A (amper) w czasie 1 s (sekunda)                            1 H = 1 V : [1 A : (1 s)] = 1 V * 1 s : (1 A)</t>
  </si>
  <si>
    <t>Stosowana jest również nazwa: ilość materii</t>
  </si>
  <si>
    <t xml:space="preserve">Stosuje się również do wyrażania energii: cieplnej, elektrycznej itp.. </t>
  </si>
  <si>
    <t>prąd elektryczny</t>
  </si>
  <si>
    <t>Stosowana jest również nazwa: natężenie prądu elektrycznego</t>
  </si>
  <si>
    <t>Stosowana jest również nazwa: siła elektromotoryczna, potencjał elektryczny</t>
  </si>
  <si>
    <t>Stosowana jest również nazwa: natężenia pola elektrycznego</t>
  </si>
  <si>
    <t>Jednostki układu SI</t>
  </si>
  <si>
    <t>Jednostki układu nie SI</t>
  </si>
  <si>
    <t>relacje między jednostkami</t>
  </si>
  <si>
    <t>minuta</t>
  </si>
  <si>
    <t>godzina</t>
  </si>
  <si>
    <t>doba, dzień</t>
  </si>
  <si>
    <t>st. Celcjusza</t>
  </si>
  <si>
    <t>stopień</t>
  </si>
  <si>
    <t>grad</t>
  </si>
  <si>
    <t>kilometr/godzinę</t>
  </si>
  <si>
    <t>obrót na sekundę</t>
  </si>
  <si>
    <t>obrót na minutę</t>
  </si>
  <si>
    <t>lumenogodzina</t>
  </si>
  <si>
    <t>procent</t>
  </si>
  <si>
    <t>promil</t>
  </si>
  <si>
    <t>kilowatogodzina</t>
  </si>
  <si>
    <t>elektronowolt</t>
  </si>
  <si>
    <t>amperogodzina</t>
  </si>
  <si>
    <t>woltoamper</t>
  </si>
  <si>
    <t>war</t>
  </si>
  <si>
    <t>bel</t>
  </si>
  <si>
    <t>becybel</t>
  </si>
  <si>
    <t>bit</t>
  </si>
  <si>
    <t>bit na sekundę</t>
  </si>
  <si>
    <t>dioptria</t>
  </si>
  <si>
    <t>angstrem</t>
  </si>
  <si>
    <t>mila morska</t>
  </si>
  <si>
    <t>kabel</t>
  </si>
  <si>
    <t>stopa</t>
  </si>
  <si>
    <t>węzeł</t>
  </si>
  <si>
    <t>tona rejestrowa</t>
  </si>
  <si>
    <t>stopa sześcienna</t>
  </si>
  <si>
    <t>milimetr słupa rtęci</t>
  </si>
  <si>
    <t>bar</t>
  </si>
  <si>
    <t>atmosfera fizyczna</t>
  </si>
  <si>
    <t>atmosfera techniczna</t>
  </si>
  <si>
    <t>dyna na centymetr kwadratowy</t>
  </si>
  <si>
    <t>kilopond</t>
  </si>
  <si>
    <t>kilogram-siła razy metr</t>
  </si>
  <si>
    <t>erg</t>
  </si>
  <si>
    <t>watosekunda</t>
  </si>
  <si>
    <t>kaloria</t>
  </si>
  <si>
    <t>erg na sekundę</t>
  </si>
  <si>
    <t>koń mechaniczny</t>
  </si>
  <si>
    <t>kaloria na sekundę</t>
  </si>
  <si>
    <t>gaus</t>
  </si>
  <si>
    <t>ersted</t>
  </si>
  <si>
    <t>makswel</t>
  </si>
  <si>
    <t>JEDNOSTKI NIE NALEŻACE DO UKŁADU SI ALE OKREŚLANE JAKO LEGALNE</t>
  </si>
  <si>
    <t>JEDNOSTKI DOPUSZCZONE PRZEJŚCIOWO DO STOSOWANIA JAKO LEGALNE</t>
  </si>
  <si>
    <t>prędkość obrotowa</t>
  </si>
  <si>
    <t>ilość światła</t>
  </si>
  <si>
    <t>stosunek dwóch wartości tej samej wielkości</t>
  </si>
  <si>
    <t>poziom bezwzględny ciśnienia akustycznego</t>
  </si>
  <si>
    <t>ilość informacji</t>
  </si>
  <si>
    <t>strumień informacji</t>
  </si>
  <si>
    <t>zdolność skupiająca układu optycznegp</t>
  </si>
  <si>
    <t>długość, odległość</t>
  </si>
  <si>
    <t>dyna</t>
  </si>
  <si>
    <t>pole magnetyczne</t>
  </si>
  <si>
    <t>min</t>
  </si>
  <si>
    <t>*C</t>
  </si>
  <si>
    <t>obr/s</t>
  </si>
  <si>
    <t xml:space="preserve"> - *</t>
  </si>
  <si>
    <t xml:space="preserve"> - '</t>
  </si>
  <si>
    <t xml:space="preserve"> - "</t>
  </si>
  <si>
    <t xml:space="preserve"> - g</t>
  </si>
  <si>
    <t>obr/min</t>
  </si>
  <si>
    <t>lm * h</t>
  </si>
  <si>
    <t>%</t>
  </si>
  <si>
    <t>kW * h</t>
  </si>
  <si>
    <t>eV</t>
  </si>
  <si>
    <t>A * h</t>
  </si>
  <si>
    <t>V * A</t>
  </si>
  <si>
    <t>var</t>
  </si>
  <si>
    <t>B</t>
  </si>
  <si>
    <t>dB</t>
  </si>
  <si>
    <t>bit/s</t>
  </si>
  <si>
    <t>RT</t>
  </si>
  <si>
    <t>mm Hg</t>
  </si>
  <si>
    <t>atm</t>
  </si>
  <si>
    <t>kp</t>
  </si>
  <si>
    <t>kG * m</t>
  </si>
  <si>
    <t>W * s</t>
  </si>
  <si>
    <t>cal</t>
  </si>
  <si>
    <t>erg/s</t>
  </si>
  <si>
    <t>cal/s</t>
  </si>
  <si>
    <t>Gs</t>
  </si>
  <si>
    <t>Oe</t>
  </si>
  <si>
    <t>Mx</t>
  </si>
  <si>
    <t>1 min = 60 s</t>
  </si>
  <si>
    <t>1 h = 60 min = 3600 s</t>
  </si>
  <si>
    <t>1 d = 24 h = 86400 s</t>
  </si>
  <si>
    <t>dla różnicy temperatur 1 *C = 1 K</t>
  </si>
  <si>
    <t>1 lm * h = 3600 lm * s</t>
  </si>
  <si>
    <t>1 % = 1/100 stosunku dwóch jednakowych wartości tej samej wielkości</t>
  </si>
  <si>
    <t>1 A*h = 3600 C</t>
  </si>
  <si>
    <t>1 V*A = 1 W</t>
  </si>
  <si>
    <t>1 var = 1 W</t>
  </si>
  <si>
    <t>1 dB = 0,1 B</t>
  </si>
  <si>
    <t>Bit na sekundę jest to strumień informaji, przy którym ilość informacji 1 bit przepływa przez dany przekrój kanału informacyjnego w czasie 1 s (sekundy)</t>
  </si>
  <si>
    <t>1 km/h =1/3,6 m/s</t>
  </si>
  <si>
    <t>1 mila morska = 1852 m</t>
  </si>
  <si>
    <t>1 kabel = 0,1 mili morskiej = 185,2 m</t>
  </si>
  <si>
    <t>1 stopa = 0,3048 m</t>
  </si>
  <si>
    <t>1 węzeł = mila morska / 1 h ~0,514 m/s</t>
  </si>
  <si>
    <t>1 mm Hg = 133,322 Pa</t>
  </si>
  <si>
    <t>1 atm = 101325 Pa</t>
  </si>
  <si>
    <t>dyn</t>
  </si>
  <si>
    <t>1 kp = 1 kG = 9,80665 N</t>
  </si>
  <si>
    <t>1 kG*m = 9,80665 N*m</t>
  </si>
  <si>
    <t>1 W*s = 1 J</t>
  </si>
  <si>
    <t>1 cal = 4,1868 J</t>
  </si>
  <si>
    <t>1 KM = 75 kG*m/s = 735,49875 W</t>
  </si>
  <si>
    <t>1 cal/s = 4,1868 W</t>
  </si>
  <si>
    <t>czas miejscowy, wskazamy przez zegar 10h25m32s; okres czasu trwający 10h25m32s</t>
  </si>
  <si>
    <t>Stosowana jest również nazwa częstość obrotów</t>
  </si>
  <si>
    <t>P-prawdopodobieństwo zdarzeń</t>
  </si>
  <si>
    <t>Wyrażane ciśnienie akustyczne</t>
  </si>
  <si>
    <t>Skala i stopień widzialności</t>
  </si>
  <si>
    <t>SKALA WIDZIALNOŚCI METEOROLOGICZNEJ</t>
  </si>
  <si>
    <t>stopień widzialności</t>
  </si>
  <si>
    <t>określenie słowne</t>
  </si>
  <si>
    <t>widzialność</t>
  </si>
  <si>
    <t>zjawisko obserwowane</t>
  </si>
  <si>
    <t>m, km</t>
  </si>
  <si>
    <t>Mm</t>
  </si>
  <si>
    <t>widzialność bardzo zła (very bad visibility)</t>
  </si>
  <si>
    <t>wyjątkowo gęsta mgła</t>
  </si>
  <si>
    <t>gęsta mgła lub bardzo gęsty śnieg</t>
  </si>
  <si>
    <t>widzialność zła (bad visibility)</t>
  </si>
  <si>
    <t>widzialność obniżona (low wisibility)</t>
  </si>
  <si>
    <t>widzialność słaba (poor visibility)</t>
  </si>
  <si>
    <t>widzialność umiarkowana (moderate visibility)</t>
  </si>
  <si>
    <t>widzialność dobra (good visibility)</t>
  </si>
  <si>
    <t>widzialność bardzo dobra (very good visibility)</t>
  </si>
  <si>
    <t>widzialność niezwykle dobra (exceptional visibility)</t>
  </si>
  <si>
    <t>mgła umiarkowana lub gęsty śnieg</t>
  </si>
  <si>
    <t>słaba mgła lub umiarkowany śnieg</t>
  </si>
  <si>
    <t>umiarkowany śnieg, bardzo ulewny deszcz lub umiarkowane zamglenie</t>
  </si>
  <si>
    <t>słaby śnieg, ulewny deszcz lub słabe zamglenie</t>
  </si>
  <si>
    <t>umiarkowany deszcz, bardzo słaby śnieg lub słabe zamglenie</t>
  </si>
  <si>
    <t>słaby deszcz lub bez deszczu</t>
  </si>
  <si>
    <t>bez opadów i zawiesin</t>
  </si>
  <si>
    <t>powietrze wyjątkowo przezroczyste</t>
  </si>
  <si>
    <t>&lt; 50m</t>
  </si>
  <si>
    <t>50 ~200m</t>
  </si>
  <si>
    <t>200 ~500m</t>
  </si>
  <si>
    <t>500 ~1000m</t>
  </si>
  <si>
    <t>2 ~4 km</t>
  </si>
  <si>
    <t>1 ~2 km</t>
  </si>
  <si>
    <t>4 ~10 km</t>
  </si>
  <si>
    <t>10 ~20 km</t>
  </si>
  <si>
    <t>20 ~50 km</t>
  </si>
  <si>
    <t>&gt; 50 km</t>
  </si>
  <si>
    <t>&lt; 0,03</t>
  </si>
  <si>
    <t>0,03 ~0,1</t>
  </si>
  <si>
    <t>0,1 ~ 0,3</t>
  </si>
  <si>
    <t>0,3 ~0,5</t>
  </si>
  <si>
    <t>0,5 ~1</t>
  </si>
  <si>
    <t>1 ~2</t>
  </si>
  <si>
    <t>2 ~ 5</t>
  </si>
  <si>
    <t>5 ~11</t>
  </si>
  <si>
    <t>11 ~27</t>
  </si>
  <si>
    <t>&gt; 27</t>
  </si>
  <si>
    <t>STOPIEŃ WIDZIALNOŚCI WG WIDOCZNOŚCI WIDNOKRĘGU</t>
  </si>
  <si>
    <t>ostrość widzenia widnokręgu</t>
  </si>
  <si>
    <t>stopień widzialności przy wzniesieniu oczu nad poziom morza</t>
  </si>
  <si>
    <t>widnokrąg widoczny ostro</t>
  </si>
  <si>
    <t>widnokrąg widoczny dostatecznie</t>
  </si>
  <si>
    <t>widnokrąg widoczny niewyraźnie</t>
  </si>
  <si>
    <t>widnokrąg niewidoczny</t>
  </si>
  <si>
    <t>1 ~7 m                                                       7 ~25 m</t>
  </si>
  <si>
    <t>8 ~9                                                                9</t>
  </si>
  <si>
    <t>7                                                                     8</t>
  </si>
  <si>
    <t>6                                                                    7</t>
  </si>
  <si>
    <t>&lt;=5                                                              &lt;=6</t>
  </si>
  <si>
    <t>Stałe</t>
  </si>
  <si>
    <t>NIEKTÓRE STAŁE MATEMATYCZNE</t>
  </si>
  <si>
    <t>nazwa stałej</t>
  </si>
  <si>
    <t>symbol</t>
  </si>
  <si>
    <t>wartość</t>
  </si>
  <si>
    <t>e</t>
  </si>
  <si>
    <t>NIEKTÓRE STAŁE FIZYCZNE</t>
  </si>
  <si>
    <t>rad</t>
  </si>
  <si>
    <t>57,29578 *</t>
  </si>
  <si>
    <t>arc 1*</t>
  </si>
  <si>
    <t>Ö3</t>
  </si>
  <si>
    <t>Ö5</t>
  </si>
  <si>
    <t>Ö10</t>
  </si>
  <si>
    <t>Öp</t>
  </si>
  <si>
    <t>1/Öp</t>
  </si>
  <si>
    <t>stała grawitacyjna</t>
  </si>
  <si>
    <t>przyspieszenie standardowe siły ciężkości</t>
  </si>
  <si>
    <t>pierwsza prędkość kosmiczna</t>
  </si>
  <si>
    <t>druga prędkość kosmiczna</t>
  </si>
  <si>
    <t>trzecia prędkość kosmiczna</t>
  </si>
  <si>
    <t>prędkość światła w próżni</t>
  </si>
  <si>
    <t>liczba Avogadra (ilość cząstek w gramocząsteczce)</t>
  </si>
  <si>
    <t>stała Lodschmidta (ilość cząsteczek w m3 gazu)</t>
  </si>
  <si>
    <t>normalna objętość molowa gazu doskonałego</t>
  </si>
  <si>
    <t>stała gazowa (na 1 mol)</t>
  </si>
  <si>
    <t>stała Boltzmana</t>
  </si>
  <si>
    <t>jednostka masy atomowej</t>
  </si>
  <si>
    <t>ładunek elektronu (elementarny)</t>
  </si>
  <si>
    <t>masa spoczynkowa elektronu</t>
  </si>
  <si>
    <t>masa spoczynkow protonu</t>
  </si>
  <si>
    <t>masa spoczynkowa neutronu</t>
  </si>
  <si>
    <t>stała Faradaya</t>
  </si>
  <si>
    <t>stała Plancka (kwant działania</t>
  </si>
  <si>
    <t>stała Rydberga</t>
  </si>
  <si>
    <t>przenikalność elektryczna próżni</t>
  </si>
  <si>
    <t>przenikalność magnetyczna próżni</t>
  </si>
  <si>
    <t>g</t>
  </si>
  <si>
    <t>L</t>
  </si>
  <si>
    <t>u</t>
  </si>
  <si>
    <t>stosunek ładunku do masy dla elektronu</t>
  </si>
  <si>
    <t>stosunek ładunku do masy dla protonu</t>
  </si>
  <si>
    <t>R</t>
  </si>
  <si>
    <t>Ciśnienia</t>
  </si>
  <si>
    <t>hPa</t>
  </si>
  <si>
    <t>cal angielski Hg</t>
  </si>
  <si>
    <t>atm. fizyczna</t>
  </si>
  <si>
    <t>atm. techniczna</t>
  </si>
  <si>
    <t>Pojemności</t>
  </si>
  <si>
    <t>pint</t>
  </si>
  <si>
    <t>kwarta</t>
  </si>
  <si>
    <t>galon</t>
  </si>
  <si>
    <t>buszel</t>
  </si>
  <si>
    <t>jednostki angielskie</t>
  </si>
  <si>
    <t>Masy</t>
  </si>
  <si>
    <t>uncja</t>
  </si>
  <si>
    <t>funt</t>
  </si>
  <si>
    <t>tona</t>
  </si>
  <si>
    <t>Mg (tona)</t>
  </si>
  <si>
    <t>Temperatury</t>
  </si>
  <si>
    <t>st. Fahrenheita</t>
  </si>
  <si>
    <t>st. Kelvina</t>
  </si>
  <si>
    <t>Mocy</t>
  </si>
  <si>
    <t>wat [W]</t>
  </si>
  <si>
    <t>woltoamper [V*A]</t>
  </si>
  <si>
    <t>war [var]</t>
  </si>
  <si>
    <t>erg na sekundę [erg/s]</t>
  </si>
  <si>
    <t>koń mechaniczny [KM]</t>
  </si>
  <si>
    <t>kaloria na sekundę [cal/s]</t>
  </si>
  <si>
    <t>kilowat [kW]</t>
  </si>
  <si>
    <t>Siły</t>
  </si>
  <si>
    <t>niuton [N]</t>
  </si>
  <si>
    <t>dyna [dyn]</t>
  </si>
  <si>
    <t>kilopond [kp]</t>
  </si>
  <si>
    <t>kilogramsiła [kG]</t>
  </si>
  <si>
    <t>kiloniuton [kN]</t>
  </si>
  <si>
    <t>dżul [J]</t>
  </si>
  <si>
    <t>kilodżul [kJ]</t>
  </si>
  <si>
    <t>kilowatogodzina [kW*h]</t>
  </si>
  <si>
    <t>elektronowolt [eV]</t>
  </si>
  <si>
    <t>watosekunda [W*s]</t>
  </si>
  <si>
    <t>kaloria [cal]</t>
  </si>
  <si>
    <t>Energii, pracy</t>
  </si>
  <si>
    <t>jednostki amerykańskie</t>
  </si>
  <si>
    <t>galon am.</t>
  </si>
  <si>
    <t>galon ang.</t>
  </si>
  <si>
    <t>funt siła [Lb]</t>
  </si>
  <si>
    <t>Kątów</t>
  </si>
  <si>
    <t>KĄTY PŁASKIE</t>
  </si>
  <si>
    <t>KĄTY GODZINNE</t>
  </si>
  <si>
    <t>Powierzchni</t>
  </si>
  <si>
    <t>hektar [ha]</t>
  </si>
  <si>
    <t>ar</t>
  </si>
  <si>
    <t>TABLICE PRZELICZENIOWE - PL</t>
  </si>
  <si>
    <t>Lista tablic</t>
  </si>
  <si>
    <t>Przeliczanie jednostek prędkości</t>
  </si>
  <si>
    <t>Przeliczanie jednostek odległości</t>
  </si>
  <si>
    <t>Przeliczanie jednostek ciśnienia</t>
  </si>
  <si>
    <t>Przeliczanie jednostek temperatury</t>
  </si>
  <si>
    <t>Przeliczanie jednostek powierzchni</t>
  </si>
  <si>
    <t>Przeliczanie jednostek pojemności</t>
  </si>
  <si>
    <t>Przeliczanie jednostek masy</t>
  </si>
  <si>
    <t>Przeliczanie jednostek energii</t>
  </si>
  <si>
    <t>Przeliczanie jednostek siły</t>
  </si>
  <si>
    <t>Przeliczanie jednostek mocy</t>
  </si>
  <si>
    <t>Przeliczanie kątów</t>
  </si>
  <si>
    <t>https://joshmadison.com/convert-for-windows/</t>
  </si>
  <si>
    <t>Polecamy program CONVERT:</t>
  </si>
  <si>
    <t>Tablice powstały w 1999r.</t>
  </si>
  <si>
    <r>
      <t>atmosfera techniczna (kG/cm</t>
    </r>
    <r>
      <rPr>
        <vertAlign val="superscript"/>
        <sz val="12"/>
        <color rgb="FF381C19"/>
        <rFont val="Arial CE"/>
        <charset val="238"/>
      </rPr>
      <t>2</t>
    </r>
    <r>
      <rPr>
        <sz val="12"/>
        <color rgb="FF381C19"/>
        <rFont val="Arial CE"/>
        <charset val="238"/>
      </rPr>
      <t>)</t>
    </r>
  </si>
  <si>
    <r>
      <t>dyna/cm</t>
    </r>
    <r>
      <rPr>
        <vertAlign val="superscript"/>
        <sz val="12"/>
        <color rgb="FF381C19"/>
        <rFont val="Arial CE"/>
        <charset val="238"/>
      </rPr>
      <t>2</t>
    </r>
  </si>
  <si>
    <r>
      <t>cm</t>
    </r>
    <r>
      <rPr>
        <vertAlign val="superscript"/>
        <sz val="12"/>
        <color rgb="FF381C19"/>
        <rFont val="Arial CE"/>
        <family val="2"/>
        <charset val="238"/>
      </rPr>
      <t>2</t>
    </r>
  </si>
  <si>
    <r>
      <t>dm</t>
    </r>
    <r>
      <rPr>
        <vertAlign val="superscript"/>
        <sz val="12"/>
        <color rgb="FF381C19"/>
        <rFont val="Arial CE"/>
        <family val="2"/>
        <charset val="238"/>
      </rPr>
      <t>2</t>
    </r>
  </si>
  <si>
    <r>
      <t>m</t>
    </r>
    <r>
      <rPr>
        <vertAlign val="superscript"/>
        <sz val="12"/>
        <color rgb="FF381C19"/>
        <rFont val="Arial CE"/>
        <family val="2"/>
        <charset val="238"/>
      </rPr>
      <t>2</t>
    </r>
  </si>
  <si>
    <r>
      <t>km</t>
    </r>
    <r>
      <rPr>
        <vertAlign val="superscript"/>
        <sz val="12"/>
        <color rgb="FF381C19"/>
        <rFont val="Arial CE"/>
        <family val="2"/>
        <charset val="238"/>
      </rPr>
      <t>2</t>
    </r>
  </si>
  <si>
    <r>
      <t>cal</t>
    </r>
    <r>
      <rPr>
        <vertAlign val="superscript"/>
        <sz val="12"/>
        <color rgb="FF381C19"/>
        <rFont val="Arial CE"/>
        <family val="2"/>
        <charset val="238"/>
      </rPr>
      <t>2</t>
    </r>
  </si>
  <si>
    <r>
      <t>stopa</t>
    </r>
    <r>
      <rPr>
        <vertAlign val="superscript"/>
        <sz val="12"/>
        <color rgb="FF381C19"/>
        <rFont val="Arial CE"/>
        <family val="2"/>
        <charset val="238"/>
      </rPr>
      <t>2</t>
    </r>
  </si>
  <si>
    <r>
      <t>yard</t>
    </r>
    <r>
      <rPr>
        <vertAlign val="superscript"/>
        <sz val="12"/>
        <color rgb="FF381C19"/>
        <rFont val="Arial CE"/>
        <family val="2"/>
        <charset val="238"/>
      </rPr>
      <t>2</t>
    </r>
  </si>
  <si>
    <r>
      <t>cm</t>
    </r>
    <r>
      <rPr>
        <vertAlign val="superscript"/>
        <sz val="12"/>
        <color rgb="FF381C19"/>
        <rFont val="Arial CE"/>
        <charset val="238"/>
      </rPr>
      <t>2</t>
    </r>
  </si>
  <si>
    <r>
      <t>dm</t>
    </r>
    <r>
      <rPr>
        <vertAlign val="superscript"/>
        <sz val="12"/>
        <color rgb="FF381C19"/>
        <rFont val="Arial CE"/>
        <charset val="238"/>
      </rPr>
      <t>2</t>
    </r>
  </si>
  <si>
    <r>
      <t>m</t>
    </r>
    <r>
      <rPr>
        <vertAlign val="superscript"/>
        <sz val="12"/>
        <color rgb="FF381C19"/>
        <rFont val="Arial CE"/>
        <charset val="238"/>
      </rPr>
      <t>2</t>
    </r>
  </si>
  <si>
    <r>
      <t>km</t>
    </r>
    <r>
      <rPr>
        <vertAlign val="superscript"/>
        <sz val="12"/>
        <color rgb="FF381C19"/>
        <rFont val="Arial CE"/>
        <charset val="238"/>
      </rPr>
      <t>2</t>
    </r>
  </si>
  <si>
    <r>
      <t>cal</t>
    </r>
    <r>
      <rPr>
        <vertAlign val="superscript"/>
        <sz val="12"/>
        <color rgb="FF381C19"/>
        <rFont val="Arial CE"/>
        <charset val="238"/>
      </rPr>
      <t>2</t>
    </r>
  </si>
  <si>
    <r>
      <t>stopa</t>
    </r>
    <r>
      <rPr>
        <vertAlign val="superscript"/>
        <sz val="12"/>
        <color rgb="FF381C19"/>
        <rFont val="Arial CE"/>
        <charset val="238"/>
      </rPr>
      <t>2</t>
    </r>
  </si>
  <si>
    <r>
      <t>yard</t>
    </r>
    <r>
      <rPr>
        <vertAlign val="superscript"/>
        <sz val="12"/>
        <color rgb="FF381C19"/>
        <rFont val="Arial CE"/>
        <charset val="238"/>
      </rPr>
      <t>2</t>
    </r>
  </si>
  <si>
    <r>
      <t>cm</t>
    </r>
    <r>
      <rPr>
        <vertAlign val="superscript"/>
        <sz val="12"/>
        <color rgb="FF381C19"/>
        <rFont val="Arial CE"/>
        <family val="2"/>
        <charset val="238"/>
      </rPr>
      <t>3</t>
    </r>
  </si>
  <si>
    <r>
      <t>dm</t>
    </r>
    <r>
      <rPr>
        <vertAlign val="superscript"/>
        <sz val="12"/>
        <color rgb="FF381C19"/>
        <rFont val="Arial CE"/>
        <family val="2"/>
        <charset val="238"/>
      </rPr>
      <t xml:space="preserve">3 </t>
    </r>
    <r>
      <rPr>
        <sz val="12"/>
        <color rgb="FF381C19"/>
        <rFont val="Arial CE"/>
        <family val="2"/>
        <charset val="238"/>
      </rPr>
      <t>( l )</t>
    </r>
  </si>
  <si>
    <r>
      <t>m</t>
    </r>
    <r>
      <rPr>
        <vertAlign val="superscript"/>
        <sz val="12"/>
        <color rgb="FF381C19"/>
        <rFont val="Arial CE"/>
        <family val="2"/>
        <charset val="238"/>
      </rPr>
      <t>3</t>
    </r>
  </si>
  <si>
    <r>
      <t>cal</t>
    </r>
    <r>
      <rPr>
        <vertAlign val="superscript"/>
        <sz val="12"/>
        <color rgb="FF381C19"/>
        <rFont val="Arial CE"/>
        <family val="2"/>
        <charset val="238"/>
      </rPr>
      <t>3</t>
    </r>
  </si>
  <si>
    <r>
      <t>stopa</t>
    </r>
    <r>
      <rPr>
        <vertAlign val="superscript"/>
        <sz val="12"/>
        <color rgb="FF381C19"/>
        <rFont val="Arial CE"/>
        <family val="2"/>
        <charset val="238"/>
      </rPr>
      <t>3</t>
    </r>
  </si>
  <si>
    <r>
      <t>yard</t>
    </r>
    <r>
      <rPr>
        <vertAlign val="superscript"/>
        <sz val="12"/>
        <color rgb="FF381C19"/>
        <rFont val="Arial CE"/>
        <family val="2"/>
        <charset val="238"/>
      </rPr>
      <t>3</t>
    </r>
  </si>
  <si>
    <r>
      <t>cm</t>
    </r>
    <r>
      <rPr>
        <vertAlign val="superscript"/>
        <sz val="12"/>
        <color rgb="FF381C19"/>
        <rFont val="Arial CE"/>
        <charset val="238"/>
      </rPr>
      <t>3</t>
    </r>
  </si>
  <si>
    <r>
      <t>dm</t>
    </r>
    <r>
      <rPr>
        <vertAlign val="superscript"/>
        <sz val="12"/>
        <color rgb="FF381C19"/>
        <rFont val="Arial CE"/>
        <charset val="238"/>
      </rPr>
      <t xml:space="preserve">3 </t>
    </r>
    <r>
      <rPr>
        <sz val="12"/>
        <color rgb="FF381C19"/>
        <rFont val="Arial CE"/>
        <charset val="238"/>
      </rPr>
      <t>( l )</t>
    </r>
  </si>
  <si>
    <r>
      <t>m</t>
    </r>
    <r>
      <rPr>
        <vertAlign val="superscript"/>
        <sz val="12"/>
        <color rgb="FF381C19"/>
        <rFont val="Arial CE"/>
        <charset val="238"/>
      </rPr>
      <t>3</t>
    </r>
  </si>
  <si>
    <r>
      <t>cal</t>
    </r>
    <r>
      <rPr>
        <vertAlign val="superscript"/>
        <sz val="12"/>
        <color rgb="FF381C19"/>
        <rFont val="Arial CE"/>
        <charset val="238"/>
      </rPr>
      <t>3</t>
    </r>
  </si>
  <si>
    <r>
      <t>stopa</t>
    </r>
    <r>
      <rPr>
        <vertAlign val="superscript"/>
        <sz val="12"/>
        <color rgb="FF381C19"/>
        <rFont val="Arial CE"/>
        <charset val="238"/>
      </rPr>
      <t>3</t>
    </r>
  </si>
  <si>
    <r>
      <t>yard</t>
    </r>
    <r>
      <rPr>
        <vertAlign val="superscript"/>
        <sz val="12"/>
        <color rgb="FF381C19"/>
        <rFont val="Arial CE"/>
        <charset val="238"/>
      </rPr>
      <t>3</t>
    </r>
  </si>
  <si>
    <r>
      <t xml:space="preserve">10 </t>
    </r>
    <r>
      <rPr>
        <vertAlign val="superscript"/>
        <sz val="10"/>
        <color rgb="FF381C19"/>
        <rFont val="Arial CE"/>
        <family val="2"/>
        <charset val="238"/>
      </rPr>
      <t>18</t>
    </r>
  </si>
  <si>
    <r>
      <t xml:space="preserve">10 </t>
    </r>
    <r>
      <rPr>
        <vertAlign val="superscript"/>
        <sz val="10"/>
        <color rgb="FF381C19"/>
        <rFont val="Arial CE"/>
        <family val="2"/>
        <charset val="238"/>
      </rPr>
      <t>15</t>
    </r>
  </si>
  <si>
    <r>
      <t xml:space="preserve">10 </t>
    </r>
    <r>
      <rPr>
        <vertAlign val="superscript"/>
        <sz val="10"/>
        <color rgb="FF381C19"/>
        <rFont val="Arial CE"/>
        <family val="2"/>
        <charset val="238"/>
      </rPr>
      <t>12</t>
    </r>
  </si>
  <si>
    <r>
      <t xml:space="preserve">10 </t>
    </r>
    <r>
      <rPr>
        <vertAlign val="superscript"/>
        <sz val="10"/>
        <color rgb="FF381C19"/>
        <rFont val="Arial CE"/>
        <family val="2"/>
        <charset val="238"/>
      </rPr>
      <t>9</t>
    </r>
  </si>
  <si>
    <r>
      <t xml:space="preserve">10 </t>
    </r>
    <r>
      <rPr>
        <vertAlign val="superscript"/>
        <sz val="10"/>
        <color rgb="FF381C19"/>
        <rFont val="Arial CE"/>
        <family val="2"/>
        <charset val="238"/>
      </rPr>
      <t>6</t>
    </r>
  </si>
  <si>
    <r>
      <t xml:space="preserve">10 </t>
    </r>
    <r>
      <rPr>
        <vertAlign val="superscript"/>
        <sz val="10"/>
        <color rgb="FF381C19"/>
        <rFont val="Arial CE"/>
        <family val="2"/>
        <charset val="238"/>
      </rPr>
      <t>3</t>
    </r>
  </si>
  <si>
    <r>
      <t xml:space="preserve">10 </t>
    </r>
    <r>
      <rPr>
        <vertAlign val="superscript"/>
        <sz val="10"/>
        <color rgb="FF381C19"/>
        <rFont val="Arial CE"/>
        <family val="2"/>
        <charset val="238"/>
      </rPr>
      <t>2</t>
    </r>
  </si>
  <si>
    <r>
      <t xml:space="preserve">10 </t>
    </r>
    <r>
      <rPr>
        <vertAlign val="superscript"/>
        <sz val="10"/>
        <color rgb="FF381C19"/>
        <rFont val="Arial CE"/>
        <family val="2"/>
        <charset val="238"/>
      </rPr>
      <t>1</t>
    </r>
  </si>
  <si>
    <r>
      <t>10.</t>
    </r>
    <r>
      <rPr>
        <vertAlign val="superscript"/>
        <sz val="10"/>
        <color rgb="FF381C19"/>
        <rFont val="Arial CE"/>
        <family val="2"/>
        <charset val="238"/>
      </rPr>
      <t>- 1</t>
    </r>
  </si>
  <si>
    <r>
      <t>10.</t>
    </r>
    <r>
      <rPr>
        <vertAlign val="superscript"/>
        <sz val="10"/>
        <color rgb="FF381C19"/>
        <rFont val="Arial CE"/>
        <family val="2"/>
        <charset val="238"/>
      </rPr>
      <t>- 2</t>
    </r>
  </si>
  <si>
    <r>
      <t>10.</t>
    </r>
    <r>
      <rPr>
        <vertAlign val="superscript"/>
        <sz val="10"/>
        <color rgb="FF381C19"/>
        <rFont val="Arial CE"/>
        <family val="2"/>
        <charset val="238"/>
      </rPr>
      <t>- 3</t>
    </r>
  </si>
  <si>
    <r>
      <t>10.</t>
    </r>
    <r>
      <rPr>
        <vertAlign val="superscript"/>
        <sz val="10"/>
        <color rgb="FF381C19"/>
        <rFont val="Arial CE"/>
        <family val="2"/>
        <charset val="238"/>
      </rPr>
      <t>- 6</t>
    </r>
  </si>
  <si>
    <r>
      <t>10.</t>
    </r>
    <r>
      <rPr>
        <vertAlign val="superscript"/>
        <sz val="10"/>
        <color rgb="FF381C19"/>
        <rFont val="Arial CE"/>
        <family val="2"/>
        <charset val="238"/>
      </rPr>
      <t>- 9</t>
    </r>
  </si>
  <si>
    <r>
      <t>10.</t>
    </r>
    <r>
      <rPr>
        <vertAlign val="superscript"/>
        <sz val="10"/>
        <color rgb="FF381C19"/>
        <rFont val="Arial CE"/>
        <family val="2"/>
        <charset val="238"/>
      </rPr>
      <t>-12</t>
    </r>
  </si>
  <si>
    <r>
      <t>10.</t>
    </r>
    <r>
      <rPr>
        <vertAlign val="superscript"/>
        <sz val="10"/>
        <color rgb="FF381C19"/>
        <rFont val="Arial CE"/>
        <family val="2"/>
        <charset val="238"/>
      </rPr>
      <t>-15</t>
    </r>
  </si>
  <si>
    <r>
      <t>10.</t>
    </r>
    <r>
      <rPr>
        <vertAlign val="superscript"/>
        <sz val="10"/>
        <color rgb="FF381C19"/>
        <rFont val="Arial CE"/>
        <family val="2"/>
        <charset val="238"/>
      </rPr>
      <t>-18</t>
    </r>
  </si>
  <si>
    <r>
      <t>6,6720 *10</t>
    </r>
    <r>
      <rPr>
        <vertAlign val="superscript"/>
        <sz val="10"/>
        <color rgb="FF381C19"/>
        <rFont val="Arial CE"/>
        <family val="2"/>
        <charset val="238"/>
      </rPr>
      <t>-11</t>
    </r>
    <r>
      <rPr>
        <sz val="10"/>
        <color rgb="FF381C19"/>
        <rFont val="Arial CE"/>
        <family val="2"/>
        <charset val="238"/>
      </rPr>
      <t xml:space="preserve"> N*m </t>
    </r>
    <r>
      <rPr>
        <vertAlign val="superscript"/>
        <sz val="10"/>
        <color rgb="FF381C19"/>
        <rFont val="Arial CE"/>
        <family val="2"/>
        <charset val="238"/>
      </rPr>
      <t>2</t>
    </r>
    <r>
      <rPr>
        <sz val="10"/>
        <color rgb="FF381C19"/>
        <rFont val="Arial CE"/>
        <family val="2"/>
        <charset val="238"/>
      </rPr>
      <t xml:space="preserve"> * kg</t>
    </r>
    <r>
      <rPr>
        <vertAlign val="superscript"/>
        <sz val="10"/>
        <color rgb="FF381C19"/>
        <rFont val="Arial CE"/>
        <family val="2"/>
        <charset val="238"/>
      </rPr>
      <t>-2</t>
    </r>
  </si>
  <si>
    <r>
      <t>1/</t>
    </r>
    <r>
      <rPr>
        <sz val="10"/>
        <color rgb="FF381C19"/>
        <rFont val="Symbol"/>
        <family val="1"/>
        <charset val="2"/>
      </rPr>
      <t>p</t>
    </r>
  </si>
  <si>
    <r>
      <t>9,80665 m*s</t>
    </r>
    <r>
      <rPr>
        <vertAlign val="superscript"/>
        <sz val="10"/>
        <color rgb="FF381C19"/>
        <rFont val="Arial CE"/>
        <family val="2"/>
        <charset val="238"/>
      </rPr>
      <t>-2</t>
    </r>
  </si>
  <si>
    <r>
      <t>2</t>
    </r>
    <r>
      <rPr>
        <sz val="10"/>
        <color rgb="FF381C19"/>
        <rFont val="Symbol"/>
        <family val="1"/>
        <charset val="2"/>
      </rPr>
      <t>p</t>
    </r>
  </si>
  <si>
    <r>
      <t>n</t>
    </r>
    <r>
      <rPr>
        <sz val="10"/>
        <color rgb="FF381C19"/>
        <rFont val="Arial CE"/>
        <family val="2"/>
        <charset val="238"/>
      </rPr>
      <t>I</t>
    </r>
  </si>
  <si>
    <r>
      <t>7,91 km*s</t>
    </r>
    <r>
      <rPr>
        <vertAlign val="superscript"/>
        <sz val="10"/>
        <color rgb="FF381C19"/>
        <rFont val="Arial CE"/>
        <family val="2"/>
        <charset val="238"/>
      </rPr>
      <t>-1</t>
    </r>
    <r>
      <rPr>
        <sz val="10"/>
        <color rgb="FF381C19"/>
        <rFont val="Arial CE"/>
        <family val="2"/>
        <charset val="238"/>
      </rPr>
      <t xml:space="preserve"> (</t>
    </r>
    <r>
      <rPr>
        <i/>
        <sz val="10"/>
        <color rgb="FF381C19"/>
        <rFont val="Arial CE"/>
        <family val="2"/>
        <charset val="238"/>
      </rPr>
      <t>h</t>
    </r>
    <r>
      <rPr>
        <sz val="10"/>
        <color rgb="FF381C19"/>
        <rFont val="Arial CE"/>
        <family val="2"/>
        <charset val="238"/>
      </rPr>
      <t>=0)</t>
    </r>
  </si>
  <si>
    <r>
      <t>n</t>
    </r>
    <r>
      <rPr>
        <sz val="10"/>
        <color rgb="FF381C19"/>
        <rFont val="Arial CE"/>
        <family val="2"/>
        <charset val="238"/>
      </rPr>
      <t>II</t>
    </r>
  </si>
  <si>
    <r>
      <t>11,19 km*s</t>
    </r>
    <r>
      <rPr>
        <vertAlign val="superscript"/>
        <sz val="10"/>
        <color rgb="FF381C19"/>
        <rFont val="Arial CE"/>
        <family val="2"/>
        <charset val="238"/>
      </rPr>
      <t>-1</t>
    </r>
    <r>
      <rPr>
        <sz val="10"/>
        <color rgb="FF381C19"/>
        <rFont val="Arial CE"/>
        <family val="2"/>
        <charset val="238"/>
      </rPr>
      <t xml:space="preserve"> (</t>
    </r>
    <r>
      <rPr>
        <i/>
        <sz val="10"/>
        <color rgb="FF381C19"/>
        <rFont val="Arial CE"/>
        <family val="2"/>
        <charset val="238"/>
      </rPr>
      <t>h</t>
    </r>
    <r>
      <rPr>
        <sz val="10"/>
        <color rgb="FF381C19"/>
        <rFont val="Arial CE"/>
        <family val="2"/>
        <charset val="238"/>
      </rPr>
      <t>=0)</t>
    </r>
  </si>
  <si>
    <r>
      <t>n</t>
    </r>
    <r>
      <rPr>
        <sz val="10"/>
        <color rgb="FF381C19"/>
        <rFont val="Arial CE"/>
        <family val="2"/>
        <charset val="238"/>
      </rPr>
      <t>III</t>
    </r>
  </si>
  <si>
    <r>
      <t>16,7 km*s</t>
    </r>
    <r>
      <rPr>
        <vertAlign val="superscript"/>
        <sz val="10"/>
        <color rgb="FF381C19"/>
        <rFont val="Arial CE"/>
        <family val="2"/>
        <charset val="238"/>
      </rPr>
      <t>-1</t>
    </r>
    <r>
      <rPr>
        <sz val="10"/>
        <color rgb="FF381C19"/>
        <rFont val="Arial CE"/>
        <family val="2"/>
        <charset val="238"/>
      </rPr>
      <t xml:space="preserve"> (</t>
    </r>
    <r>
      <rPr>
        <i/>
        <sz val="10"/>
        <color rgb="FF381C19"/>
        <rFont val="Arial CE"/>
        <family val="2"/>
        <charset val="238"/>
      </rPr>
      <t>h</t>
    </r>
    <r>
      <rPr>
        <sz val="10"/>
        <color rgb="FF381C19"/>
        <rFont val="Arial CE"/>
        <family val="2"/>
        <charset val="238"/>
      </rPr>
      <t>=0)</t>
    </r>
  </si>
  <si>
    <r>
      <t>299 792,468 km*s</t>
    </r>
    <r>
      <rPr>
        <vertAlign val="superscript"/>
        <sz val="10"/>
        <color rgb="FF381C19"/>
        <rFont val="Arial CE"/>
        <family val="2"/>
        <charset val="238"/>
      </rPr>
      <t>-1</t>
    </r>
  </si>
  <si>
    <r>
      <t>1/</t>
    </r>
    <r>
      <rPr>
        <i/>
        <sz val="10"/>
        <color rgb="FF381C19"/>
        <rFont val="Arial CE"/>
        <family val="2"/>
        <charset val="238"/>
      </rPr>
      <t>e</t>
    </r>
  </si>
  <si>
    <r>
      <t>6,022045*10</t>
    </r>
    <r>
      <rPr>
        <vertAlign val="superscript"/>
        <sz val="10"/>
        <color rgb="FF381C19"/>
        <rFont val="Arial CE"/>
        <family val="2"/>
        <charset val="238"/>
      </rPr>
      <t>23</t>
    </r>
    <r>
      <rPr>
        <sz val="10"/>
        <color rgb="FF381C19"/>
        <rFont val="Arial CE"/>
        <family val="2"/>
        <charset val="238"/>
      </rPr>
      <t xml:space="preserve"> mol</t>
    </r>
    <r>
      <rPr>
        <vertAlign val="superscript"/>
        <sz val="10"/>
        <color rgb="FF381C19"/>
        <rFont val="Arial CE"/>
        <family val="2"/>
        <charset val="238"/>
      </rPr>
      <t>-1</t>
    </r>
  </si>
  <si>
    <r>
      <t xml:space="preserve">log </t>
    </r>
    <r>
      <rPr>
        <i/>
        <sz val="10"/>
        <color rgb="FF381C19"/>
        <rFont val="Arial CE"/>
        <family val="2"/>
        <charset val="238"/>
      </rPr>
      <t>e</t>
    </r>
  </si>
  <si>
    <r>
      <t>2,6867*10</t>
    </r>
    <r>
      <rPr>
        <vertAlign val="superscript"/>
        <sz val="10"/>
        <color rgb="FF381C19"/>
        <rFont val="Arial CE"/>
        <family val="2"/>
        <charset val="238"/>
      </rPr>
      <t>25</t>
    </r>
    <r>
      <rPr>
        <sz val="10"/>
        <color rgb="FF381C19"/>
        <rFont val="Arial CE"/>
        <family val="2"/>
        <charset val="238"/>
      </rPr>
      <t xml:space="preserve"> (w 0*C, 101325 Pa)</t>
    </r>
  </si>
  <si>
    <r>
      <t xml:space="preserve">1/log </t>
    </r>
    <r>
      <rPr>
        <i/>
        <sz val="10"/>
        <color rgb="FF381C19"/>
        <rFont val="Arial CE"/>
        <family val="2"/>
        <charset val="238"/>
      </rPr>
      <t>e</t>
    </r>
  </si>
  <si>
    <t>Vo</t>
  </si>
  <si>
    <r>
      <t>22,414 l*mol</t>
    </r>
    <r>
      <rPr>
        <vertAlign val="superscript"/>
        <sz val="10"/>
        <color rgb="FF381C19"/>
        <rFont val="Arial CE"/>
        <family val="2"/>
        <charset val="238"/>
      </rPr>
      <t>-1</t>
    </r>
    <r>
      <rPr>
        <sz val="10"/>
        <color rgb="FF381C19"/>
        <rFont val="Arial CE"/>
        <family val="2"/>
        <charset val="238"/>
      </rPr>
      <t xml:space="preserve"> = 22,41 m</t>
    </r>
    <r>
      <rPr>
        <vertAlign val="superscript"/>
        <sz val="10"/>
        <color rgb="FF381C19"/>
        <rFont val="Arial CE"/>
        <family val="2"/>
        <charset val="238"/>
      </rPr>
      <t>3</t>
    </r>
    <r>
      <rPr>
        <sz val="10"/>
        <color rgb="FF381C19"/>
        <rFont val="Arial CE"/>
        <family val="2"/>
        <charset val="238"/>
      </rPr>
      <t>*kmol</t>
    </r>
    <r>
      <rPr>
        <vertAlign val="superscript"/>
        <sz val="10"/>
        <color rgb="FF381C19"/>
        <rFont val="Arial CE"/>
        <family val="2"/>
        <charset val="238"/>
      </rPr>
      <t>-1</t>
    </r>
  </si>
  <si>
    <t>Ro</t>
  </si>
  <si>
    <r>
      <t>8,3144 J*mol</t>
    </r>
    <r>
      <rPr>
        <vertAlign val="superscript"/>
        <sz val="10"/>
        <color rgb="FF381C19"/>
        <rFont val="Arial CE"/>
        <family val="2"/>
        <charset val="238"/>
      </rPr>
      <t>-1</t>
    </r>
    <r>
      <rPr>
        <sz val="10"/>
        <color rgb="FF381C19"/>
        <rFont val="Arial CE"/>
        <family val="2"/>
        <charset val="238"/>
      </rPr>
      <t>*K</t>
    </r>
    <r>
      <rPr>
        <vertAlign val="superscript"/>
        <sz val="10"/>
        <color rgb="FF381C19"/>
        <rFont val="Arial CE"/>
        <family val="2"/>
        <charset val="238"/>
      </rPr>
      <t>-1</t>
    </r>
    <r>
      <rPr>
        <sz val="10"/>
        <color rgb="FF381C19"/>
        <rFont val="Arial CE"/>
        <family val="2"/>
        <charset val="238"/>
      </rPr>
      <t>= 848kG*m*kmol</t>
    </r>
    <r>
      <rPr>
        <vertAlign val="superscript"/>
        <sz val="10"/>
        <color rgb="FF381C19"/>
        <rFont val="Arial CE"/>
        <family val="2"/>
        <charset val="238"/>
      </rPr>
      <t>-1</t>
    </r>
    <r>
      <rPr>
        <sz val="10"/>
        <color rgb="FF381C19"/>
        <rFont val="Arial CE"/>
        <family val="2"/>
        <charset val="238"/>
      </rPr>
      <t>*K</t>
    </r>
    <r>
      <rPr>
        <vertAlign val="superscript"/>
        <sz val="10"/>
        <color rgb="FF381C19"/>
        <rFont val="Arial CE"/>
        <family val="2"/>
        <charset val="238"/>
      </rPr>
      <t>-1</t>
    </r>
  </si>
  <si>
    <r>
      <t>1,3806*10</t>
    </r>
    <r>
      <rPr>
        <vertAlign val="superscript"/>
        <sz val="10"/>
        <color rgb="FF381C19"/>
        <rFont val="Arial CE"/>
        <family val="2"/>
        <charset val="238"/>
      </rPr>
      <t>23</t>
    </r>
    <r>
      <rPr>
        <sz val="10"/>
        <color rgb="FF381C19"/>
        <rFont val="Arial CE"/>
        <family val="2"/>
        <charset val="238"/>
      </rPr>
      <t xml:space="preserve"> J*K</t>
    </r>
    <r>
      <rPr>
        <vertAlign val="superscript"/>
        <sz val="10"/>
        <color rgb="FF381C19"/>
        <rFont val="Arial CE"/>
        <family val="2"/>
        <charset val="238"/>
      </rPr>
      <t>-1</t>
    </r>
  </si>
  <si>
    <r>
      <t>Ö</t>
    </r>
    <r>
      <rPr>
        <sz val="10"/>
        <color rgb="FF381C19"/>
        <rFont val="Arial CE"/>
        <family val="2"/>
        <charset val="238"/>
      </rPr>
      <t>2</t>
    </r>
  </si>
  <si>
    <r>
      <t>1,6605655*10</t>
    </r>
    <r>
      <rPr>
        <vertAlign val="superscript"/>
        <sz val="10"/>
        <color rgb="FF381C19"/>
        <rFont val="Arial CE"/>
        <family val="2"/>
        <charset val="238"/>
      </rPr>
      <t>27</t>
    </r>
    <r>
      <rPr>
        <sz val="10"/>
        <color rgb="FF381C19"/>
        <rFont val="Arial CE"/>
        <family val="2"/>
        <charset val="238"/>
      </rPr>
      <t xml:space="preserve"> kg</t>
    </r>
  </si>
  <si>
    <r>
      <t>1/</t>
    </r>
    <r>
      <rPr>
        <sz val="10"/>
        <color rgb="FF381C19"/>
        <rFont val="Symbol"/>
        <family val="1"/>
        <charset val="2"/>
      </rPr>
      <t>Ö</t>
    </r>
    <r>
      <rPr>
        <sz val="10"/>
        <color rgb="FF381C19"/>
        <rFont val="Arial CE"/>
        <family val="2"/>
        <charset val="238"/>
      </rPr>
      <t>2</t>
    </r>
  </si>
  <si>
    <r>
      <t>1,602*10</t>
    </r>
    <r>
      <rPr>
        <vertAlign val="superscript"/>
        <sz val="10"/>
        <color rgb="FF381C19"/>
        <rFont val="Arial CE"/>
        <family val="2"/>
        <charset val="238"/>
      </rPr>
      <t>-19</t>
    </r>
    <r>
      <rPr>
        <sz val="10"/>
        <color rgb="FF381C19"/>
        <rFont val="Arial CE"/>
        <family val="2"/>
        <charset val="238"/>
      </rPr>
      <t xml:space="preserve"> C</t>
    </r>
  </si>
  <si>
    <t>me</t>
  </si>
  <si>
    <r>
      <t>9,1095*10</t>
    </r>
    <r>
      <rPr>
        <vertAlign val="superscript"/>
        <sz val="10"/>
        <color rgb="FF381C19"/>
        <rFont val="Arial CE"/>
        <family val="2"/>
        <charset val="238"/>
      </rPr>
      <t>-31</t>
    </r>
    <r>
      <rPr>
        <sz val="10"/>
        <color rgb="FF381C19"/>
        <rFont val="Arial CE"/>
        <family val="2"/>
        <charset val="238"/>
      </rPr>
      <t xml:space="preserve"> kg</t>
    </r>
  </si>
  <si>
    <r>
      <t>1/</t>
    </r>
    <r>
      <rPr>
        <sz val="10"/>
        <color rgb="FF381C19"/>
        <rFont val="Symbol"/>
        <family val="1"/>
        <charset val="2"/>
      </rPr>
      <t>Ö3</t>
    </r>
  </si>
  <si>
    <t>mp</t>
  </si>
  <si>
    <r>
      <t>1,6726*10</t>
    </r>
    <r>
      <rPr>
        <vertAlign val="superscript"/>
        <sz val="10"/>
        <color rgb="FF381C19"/>
        <rFont val="Arial CE"/>
        <family val="2"/>
        <charset val="238"/>
      </rPr>
      <t>-27</t>
    </r>
    <r>
      <rPr>
        <sz val="10"/>
        <color rgb="FF381C19"/>
        <rFont val="Arial CE"/>
        <family val="2"/>
        <charset val="238"/>
      </rPr>
      <t xml:space="preserve"> kg</t>
    </r>
  </si>
  <si>
    <t>mn</t>
  </si>
  <si>
    <r>
      <t>1,6750*10</t>
    </r>
    <r>
      <rPr>
        <vertAlign val="superscript"/>
        <sz val="10"/>
        <color rgb="FF381C19"/>
        <rFont val="Arial CE"/>
        <family val="2"/>
        <charset val="238"/>
      </rPr>
      <t>-27</t>
    </r>
    <r>
      <rPr>
        <sz val="10"/>
        <color rgb="FF381C19"/>
        <rFont val="Arial CE"/>
        <family val="2"/>
        <charset val="238"/>
      </rPr>
      <t xml:space="preserve"> kg</t>
    </r>
  </si>
  <si>
    <r>
      <t>1/</t>
    </r>
    <r>
      <rPr>
        <sz val="10"/>
        <color rgb="FF381C19"/>
        <rFont val="Symbol"/>
        <family val="1"/>
        <charset val="2"/>
      </rPr>
      <t>Ö5</t>
    </r>
  </si>
  <si>
    <r>
      <t>e</t>
    </r>
    <r>
      <rPr>
        <sz val="10"/>
        <color rgb="FF381C19"/>
        <rFont val="Arial CE"/>
        <family val="2"/>
        <charset val="238"/>
      </rPr>
      <t>/me</t>
    </r>
  </si>
  <si>
    <r>
      <t>1,7588*10</t>
    </r>
    <r>
      <rPr>
        <vertAlign val="superscript"/>
        <sz val="10"/>
        <color rgb="FF381C19"/>
        <rFont val="Arial CE"/>
        <family val="2"/>
        <charset val="238"/>
      </rPr>
      <t>11</t>
    </r>
    <r>
      <rPr>
        <sz val="10"/>
        <color rgb="FF381C19"/>
        <rFont val="Arial CE"/>
        <family val="2"/>
        <charset val="238"/>
      </rPr>
      <t xml:space="preserve"> C*kg</t>
    </r>
    <r>
      <rPr>
        <vertAlign val="superscript"/>
        <sz val="10"/>
        <color rgb="FF381C19"/>
        <rFont val="Arial CE"/>
        <family val="2"/>
        <charset val="238"/>
      </rPr>
      <t>-1</t>
    </r>
  </si>
  <si>
    <r>
      <t>e</t>
    </r>
    <r>
      <rPr>
        <sz val="10"/>
        <color rgb="FF381C19"/>
        <rFont val="Arial CE"/>
        <family val="2"/>
        <charset val="238"/>
      </rPr>
      <t>/mp</t>
    </r>
  </si>
  <si>
    <r>
      <t>9,5798*10</t>
    </r>
    <r>
      <rPr>
        <vertAlign val="superscript"/>
        <sz val="10"/>
        <color rgb="FF381C19"/>
        <rFont val="Arial CE"/>
        <family val="2"/>
        <charset val="238"/>
      </rPr>
      <t>7</t>
    </r>
    <r>
      <rPr>
        <sz val="10"/>
        <color rgb="FF381C19"/>
        <rFont val="Arial CE"/>
        <family val="2"/>
        <charset val="238"/>
      </rPr>
      <t xml:space="preserve"> C*kg</t>
    </r>
    <r>
      <rPr>
        <vertAlign val="superscript"/>
        <sz val="10"/>
        <color rgb="FF381C19"/>
        <rFont val="Arial CE"/>
        <family val="2"/>
        <charset val="238"/>
      </rPr>
      <t>-1</t>
    </r>
  </si>
  <si>
    <r>
      <t>1/</t>
    </r>
    <r>
      <rPr>
        <sz val="10"/>
        <color rgb="FF381C19"/>
        <rFont val="Symbol"/>
        <family val="1"/>
        <charset val="2"/>
      </rPr>
      <t>Ö10</t>
    </r>
  </si>
  <si>
    <r>
      <t>9,6485*10</t>
    </r>
    <r>
      <rPr>
        <vertAlign val="superscript"/>
        <sz val="10"/>
        <color rgb="FF381C19"/>
        <rFont val="Arial CE"/>
        <family val="2"/>
        <charset val="238"/>
      </rPr>
      <t>4</t>
    </r>
    <r>
      <rPr>
        <sz val="10"/>
        <color rgb="FF381C19"/>
        <rFont val="Arial CE"/>
        <family val="2"/>
        <charset val="238"/>
      </rPr>
      <t xml:space="preserve"> C*mol</t>
    </r>
    <r>
      <rPr>
        <vertAlign val="superscript"/>
        <sz val="10"/>
        <color rgb="FF381C19"/>
        <rFont val="Arial CE"/>
        <family val="2"/>
        <charset val="238"/>
      </rPr>
      <t>-1</t>
    </r>
  </si>
  <si>
    <r>
      <t>6,6262*10</t>
    </r>
    <r>
      <rPr>
        <vertAlign val="superscript"/>
        <sz val="10"/>
        <color rgb="FF381C19"/>
        <rFont val="Arial CE"/>
        <family val="2"/>
        <charset val="238"/>
      </rPr>
      <t>-34</t>
    </r>
    <r>
      <rPr>
        <sz val="10"/>
        <color rgb="FF381C19"/>
        <rFont val="Arial CE"/>
        <family val="2"/>
        <charset val="238"/>
      </rPr>
      <t xml:space="preserve"> J*s</t>
    </r>
  </si>
  <si>
    <r>
      <t>109 737,3 cm</t>
    </r>
    <r>
      <rPr>
        <vertAlign val="superscript"/>
        <sz val="10"/>
        <color rgb="FF381C19"/>
        <rFont val="Arial CE"/>
        <family val="2"/>
        <charset val="238"/>
      </rPr>
      <t>-1</t>
    </r>
  </si>
  <si>
    <r>
      <t>e</t>
    </r>
    <r>
      <rPr>
        <vertAlign val="subscript"/>
        <sz val="10"/>
        <color rgb="FF381C19"/>
        <rFont val="Symbol"/>
        <family val="1"/>
        <charset val="2"/>
      </rPr>
      <t>0</t>
    </r>
  </si>
  <si>
    <r>
      <t>8,8542*10</t>
    </r>
    <r>
      <rPr>
        <vertAlign val="superscript"/>
        <sz val="10"/>
        <color rgb="FF381C19"/>
        <rFont val="Arial CE"/>
        <family val="2"/>
        <charset val="238"/>
      </rPr>
      <t>-12</t>
    </r>
    <r>
      <rPr>
        <sz val="10"/>
        <color rgb="FF381C19"/>
        <rFont val="Arial CE"/>
        <family val="2"/>
        <charset val="238"/>
      </rPr>
      <t xml:space="preserve"> F*m</t>
    </r>
    <r>
      <rPr>
        <vertAlign val="superscript"/>
        <sz val="10"/>
        <color rgb="FF381C19"/>
        <rFont val="Arial CE"/>
        <family val="2"/>
        <charset val="238"/>
      </rPr>
      <t>-1</t>
    </r>
  </si>
  <si>
    <r>
      <t>m</t>
    </r>
    <r>
      <rPr>
        <vertAlign val="subscript"/>
        <sz val="10"/>
        <color rgb="FF381C19"/>
        <rFont val="Symbol"/>
        <family val="1"/>
        <charset val="2"/>
      </rPr>
      <t>0</t>
    </r>
  </si>
  <si>
    <r>
      <t>1,2566*10</t>
    </r>
    <r>
      <rPr>
        <vertAlign val="superscript"/>
        <sz val="10"/>
        <color rgb="FF381C19"/>
        <rFont val="Arial CE"/>
        <family val="2"/>
        <charset val="238"/>
      </rPr>
      <t>-6</t>
    </r>
    <r>
      <rPr>
        <sz val="10"/>
        <color rgb="FF381C19"/>
        <rFont val="Arial CE"/>
        <family val="2"/>
        <charset val="238"/>
      </rPr>
      <t xml:space="preserve"> V*s*A</t>
    </r>
    <r>
      <rPr>
        <vertAlign val="superscript"/>
        <sz val="10"/>
        <color rgb="FF381C19"/>
        <rFont val="Arial CE"/>
        <family val="2"/>
        <charset val="238"/>
      </rPr>
      <t>-1</t>
    </r>
    <r>
      <rPr>
        <sz val="10"/>
        <color rgb="FF381C19"/>
        <rFont val="Arial CE"/>
        <family val="2"/>
        <charset val="238"/>
      </rPr>
      <t>*m</t>
    </r>
    <r>
      <rPr>
        <vertAlign val="superscript"/>
        <sz val="10"/>
        <color rgb="FF381C19"/>
        <rFont val="Arial CE"/>
        <family val="2"/>
        <charset val="238"/>
      </rPr>
      <t>-1</t>
    </r>
  </si>
  <si>
    <r>
      <t>5,9742*10</t>
    </r>
    <r>
      <rPr>
        <vertAlign val="superscript"/>
        <sz val="10"/>
        <color rgb="FF381C19"/>
        <rFont val="Arial CE"/>
        <family val="2"/>
        <charset val="238"/>
      </rPr>
      <t>24</t>
    </r>
    <r>
      <rPr>
        <sz val="10"/>
        <color rgb="FF381C19"/>
        <rFont val="Arial CE"/>
        <family val="2"/>
        <charset val="238"/>
      </rPr>
      <t xml:space="preserve"> kg</t>
    </r>
  </si>
  <si>
    <r>
      <t>1,9891*10</t>
    </r>
    <r>
      <rPr>
        <vertAlign val="superscript"/>
        <sz val="10"/>
        <color rgb="FF381C19"/>
        <rFont val="Arial CE"/>
        <family val="2"/>
        <charset val="238"/>
      </rPr>
      <t>30</t>
    </r>
    <r>
      <rPr>
        <sz val="10"/>
        <color rgb="FF381C19"/>
        <rFont val="Arial CE"/>
        <family val="2"/>
        <charset val="238"/>
      </rPr>
      <t xml:space="preserve"> kg</t>
    </r>
  </si>
  <si>
    <r>
      <t>7,348*10</t>
    </r>
    <r>
      <rPr>
        <vertAlign val="superscript"/>
        <sz val="10"/>
        <color rgb="FF381C19"/>
        <rFont val="Arial CE"/>
        <family val="2"/>
        <charset val="238"/>
      </rPr>
      <t>22</t>
    </r>
    <r>
      <rPr>
        <sz val="10"/>
        <color rgb="FF381C19"/>
        <rFont val="Arial CE"/>
        <family val="2"/>
        <charset val="238"/>
      </rPr>
      <t xml:space="preserve"> kg</t>
    </r>
  </si>
  <si>
    <r>
      <t>206 265 UA = 3,086*10</t>
    </r>
    <r>
      <rPr>
        <vertAlign val="superscript"/>
        <sz val="10"/>
        <color rgb="FF381C19"/>
        <rFont val="Arial CE"/>
        <family val="2"/>
        <charset val="238"/>
      </rPr>
      <t>12</t>
    </r>
    <r>
      <rPr>
        <sz val="10"/>
        <color rgb="FF381C19"/>
        <rFont val="Arial CE"/>
        <family val="2"/>
        <charset val="238"/>
      </rPr>
      <t>km = 3,26 lat św.</t>
    </r>
  </si>
  <si>
    <r>
      <t>Kandela jest to światłość, jaką ma w kierunku prostopadłym powierzchnia 1/600 000 m</t>
    </r>
    <r>
      <rPr>
        <vertAlign val="superscript"/>
        <sz val="10"/>
        <color rgb="FF381C19"/>
        <rFont val="Arial CE"/>
        <family val="2"/>
        <charset val="238"/>
      </rPr>
      <t>2</t>
    </r>
    <r>
      <rPr>
        <sz val="10"/>
        <color rgb="FF381C19"/>
        <rFont val="Arial CE"/>
        <family val="2"/>
        <charset val="238"/>
      </rPr>
      <t xml:space="preserve"> (metra kwadratowego) promiennika zupełnego w temperaturze krzepnięcia platyny pod ciśnieniem 101 325 Pa (paskali)</t>
    </r>
  </si>
  <si>
    <r>
      <t>Luks jest to natężenie oświetlania wytworzone przez strumień świetlny 1 lm (lumen) na powierzchni 1 m</t>
    </r>
    <r>
      <rPr>
        <vertAlign val="superscript"/>
        <sz val="10"/>
        <color rgb="FF381C19"/>
        <rFont val="Arial CE"/>
        <family val="2"/>
        <charset val="238"/>
      </rPr>
      <t>2</t>
    </r>
    <r>
      <rPr>
        <sz val="10"/>
        <color rgb="FF381C19"/>
        <rFont val="Arial CE"/>
        <family val="2"/>
        <charset val="238"/>
      </rPr>
      <t xml:space="preserve"> (metr kwadratowy)                                             1lx = 1 lm : (1 m</t>
    </r>
    <r>
      <rPr>
        <vertAlign val="superscript"/>
        <sz val="10"/>
        <color rgb="FF381C19"/>
        <rFont val="Arial CE"/>
        <family val="2"/>
        <charset val="238"/>
      </rPr>
      <t>2</t>
    </r>
    <r>
      <rPr>
        <sz val="10"/>
        <color rgb="FF381C19"/>
        <rFont val="Arial CE"/>
        <family val="2"/>
        <charset val="238"/>
      </rPr>
      <t>)</t>
    </r>
  </si>
  <si>
    <r>
      <t>Paskal jest to ciśnienie występujące na powierzchni płaskiej 1 m</t>
    </r>
    <r>
      <rPr>
        <vertAlign val="superscript"/>
        <sz val="10"/>
        <color rgb="FF381C19"/>
        <rFont val="Arial CE"/>
        <family val="2"/>
        <charset val="238"/>
      </rPr>
      <t xml:space="preserve">2 </t>
    </r>
    <r>
      <rPr>
        <sz val="10"/>
        <color rgb="FF381C19"/>
        <rFont val="Arial CE"/>
        <family val="2"/>
        <charset val="238"/>
      </rPr>
      <t>(metr kwadratowy), na którą działa prostopadle siła 1 N (niuton)                              1 Pa = 1 N : (1 m</t>
    </r>
    <r>
      <rPr>
        <vertAlign val="superscript"/>
        <sz val="10"/>
        <color rgb="FF381C19"/>
        <rFont val="Arial CE"/>
        <family val="2"/>
        <charset val="238"/>
      </rPr>
      <t>2</t>
    </r>
    <r>
      <rPr>
        <sz val="10"/>
        <color rgb="FF381C19"/>
        <rFont val="Arial CE"/>
        <family val="2"/>
        <charset val="238"/>
      </rPr>
      <t>)</t>
    </r>
  </si>
  <si>
    <r>
      <t>Niuton jest to siła, jaką w kierunku jej działania nadaje masie 1 kg (kilogram) przyspieszenie 1 m/s</t>
    </r>
    <r>
      <rPr>
        <vertAlign val="superscript"/>
        <sz val="10"/>
        <color rgb="FF381C19"/>
        <rFont val="Arial CE"/>
        <family val="2"/>
        <charset val="238"/>
      </rPr>
      <t>2</t>
    </r>
    <r>
      <rPr>
        <sz val="10"/>
        <color rgb="FF381C19"/>
        <rFont val="Arial CE"/>
        <family val="2"/>
        <charset val="238"/>
      </rPr>
      <t xml:space="preserve"> (metr na kwadrat sekundy)                                          1 N = 1 kg * (1 m/s</t>
    </r>
    <r>
      <rPr>
        <vertAlign val="superscript"/>
        <sz val="10"/>
        <color rgb="FF381C19"/>
        <rFont val="Arial CE"/>
        <family val="2"/>
        <charset val="238"/>
      </rPr>
      <t>2</t>
    </r>
    <r>
      <rPr>
        <sz val="10"/>
        <color rgb="FF381C19"/>
        <rFont val="Arial CE"/>
        <family val="2"/>
        <charset val="238"/>
      </rPr>
      <t>)</t>
    </r>
  </si>
  <si>
    <r>
      <t>m</t>
    </r>
    <r>
      <rPr>
        <vertAlign val="superscript"/>
        <sz val="10"/>
        <color rgb="FF381C19"/>
        <rFont val="Arial CE"/>
        <family val="2"/>
        <charset val="238"/>
      </rPr>
      <t>2</t>
    </r>
  </si>
  <si>
    <r>
      <t>Metr kwadratowy jest to powierzchnia równa powierzchni kwadratu, którego bok ma długość 1 m (metr)                                                                                   1 m</t>
    </r>
    <r>
      <rPr>
        <vertAlign val="superscript"/>
        <sz val="10"/>
        <color rgb="FF381C19"/>
        <rFont val="Arial CE"/>
        <family val="2"/>
        <charset val="238"/>
      </rPr>
      <t>2</t>
    </r>
    <r>
      <rPr>
        <sz val="10"/>
        <color rgb="FF381C19"/>
        <rFont val="Arial CE"/>
        <family val="2"/>
        <charset val="238"/>
      </rPr>
      <t xml:space="preserve"> = 1 m * 1 m</t>
    </r>
  </si>
  <si>
    <r>
      <t>m</t>
    </r>
    <r>
      <rPr>
        <vertAlign val="superscript"/>
        <sz val="10"/>
        <color rgb="FF381C19"/>
        <rFont val="Arial CE"/>
        <family val="2"/>
        <charset val="238"/>
      </rPr>
      <t>3</t>
    </r>
  </si>
  <si>
    <r>
      <t>Metr sześcienny jest to objętość równa objętości sześcianu, którego krawędź ma długość 1 m (metr)                                                                           1 m</t>
    </r>
    <r>
      <rPr>
        <vertAlign val="superscript"/>
        <sz val="10"/>
        <color rgb="FF381C19"/>
        <rFont val="Arial CE"/>
        <family val="2"/>
        <charset val="238"/>
      </rPr>
      <t>3</t>
    </r>
    <r>
      <rPr>
        <sz val="10"/>
        <color rgb="FF381C19"/>
        <rFont val="Arial CE"/>
        <family val="2"/>
        <charset val="238"/>
      </rPr>
      <t xml:space="preserve"> = 1 m * 1 m * 1 m</t>
    </r>
  </si>
  <si>
    <r>
      <t>kg/m</t>
    </r>
    <r>
      <rPr>
        <vertAlign val="superscript"/>
        <sz val="10"/>
        <color rgb="FF381C19"/>
        <rFont val="Arial CE"/>
        <family val="2"/>
        <charset val="238"/>
      </rPr>
      <t>3</t>
    </r>
  </si>
  <si>
    <r>
      <t>Kilogram na metr sześcienny jest to gęstość ciała mającego masę 1 kg (kilograma) i objętość 1 m</t>
    </r>
    <r>
      <rPr>
        <vertAlign val="superscript"/>
        <sz val="10"/>
        <color rgb="FF381C19"/>
        <rFont val="Arial CE"/>
        <family val="2"/>
        <charset val="238"/>
      </rPr>
      <t>3</t>
    </r>
    <r>
      <rPr>
        <sz val="10"/>
        <color rgb="FF381C19"/>
        <rFont val="Arial CE"/>
        <family val="2"/>
        <charset val="238"/>
      </rPr>
      <t xml:space="preserve"> (metr sześcienny)                                                   1 kg/m</t>
    </r>
    <r>
      <rPr>
        <vertAlign val="superscript"/>
        <sz val="10"/>
        <color rgb="FF381C19"/>
        <rFont val="Arial CE"/>
        <family val="2"/>
        <charset val="238"/>
      </rPr>
      <t>3</t>
    </r>
    <r>
      <rPr>
        <sz val="10"/>
        <color rgb="FF381C19"/>
        <rFont val="Arial CE"/>
        <family val="2"/>
        <charset val="238"/>
      </rPr>
      <t xml:space="preserve"> = 1 kg : (1 m</t>
    </r>
    <r>
      <rPr>
        <vertAlign val="superscript"/>
        <sz val="10"/>
        <color rgb="FF381C19"/>
        <rFont val="Arial CE"/>
        <family val="2"/>
        <charset val="238"/>
      </rPr>
      <t>3</t>
    </r>
    <r>
      <rPr>
        <sz val="10"/>
        <color rgb="FF381C19"/>
        <rFont val="Arial CE"/>
        <family val="2"/>
        <charset val="238"/>
      </rPr>
      <t>)</t>
    </r>
  </si>
  <si>
    <r>
      <t>m/s</t>
    </r>
    <r>
      <rPr>
        <vertAlign val="superscript"/>
        <sz val="10"/>
        <color rgb="FF381C19"/>
        <rFont val="Arial CE"/>
        <family val="2"/>
        <charset val="238"/>
      </rPr>
      <t>2</t>
    </r>
  </si>
  <si>
    <r>
      <t>Metr na kwadrat sekundy jest to przyspieszenie liniowe przy jakim prędkość liniowa zmienia się o 1 m/s (metr na sekundę) w czasie 1 s (sekunda)                                                                                                                              1 m/s</t>
    </r>
    <r>
      <rPr>
        <vertAlign val="superscript"/>
        <sz val="10"/>
        <color rgb="FF381C19"/>
        <rFont val="Arial CE"/>
        <family val="2"/>
        <charset val="238"/>
      </rPr>
      <t>2</t>
    </r>
    <r>
      <rPr>
        <sz val="10"/>
        <color rgb="FF381C19"/>
        <rFont val="Arial CE"/>
        <family val="2"/>
        <charset val="238"/>
      </rPr>
      <t xml:space="preserve"> = ( 1 m/s) : (1 s)</t>
    </r>
  </si>
  <si>
    <r>
      <t xml:space="preserve">Amper jest to prąd elektryczny nie zmieniający się, który płynąc w dwóch równoległych prostoliniowych, nieskończenie długich przewodach o przektoju kołowym znikomo małym, umieszczonym w próżni w odległości 1 m (metr) od siebie wywołałby między tymi przewodami siłę 2 * 10 </t>
    </r>
    <r>
      <rPr>
        <vertAlign val="superscript"/>
        <sz val="10"/>
        <color rgb="FF381C19"/>
        <rFont val="Arial CE"/>
        <family val="2"/>
        <charset val="238"/>
      </rPr>
      <t>- 7</t>
    </r>
    <r>
      <rPr>
        <sz val="10"/>
        <color rgb="FF381C19"/>
        <rFont val="Arial CE"/>
        <family val="2"/>
        <charset val="238"/>
      </rPr>
      <t xml:space="preserve"> N (niutona) na każdy metr długości</t>
    </r>
  </si>
  <si>
    <r>
      <t>A/m</t>
    </r>
    <r>
      <rPr>
        <vertAlign val="superscript"/>
        <sz val="10"/>
        <color rgb="FF381C19"/>
        <rFont val="Arial CE"/>
        <family val="2"/>
        <charset val="238"/>
      </rPr>
      <t>2</t>
    </r>
  </si>
  <si>
    <r>
      <t>Amper na metr kwadratowy jest to gęstość prądu elektrycznego występująca, gdy prąd 1 A (amper) rozkłada się równomiernie na powierzchni 1 m</t>
    </r>
    <r>
      <rPr>
        <vertAlign val="superscript"/>
        <sz val="10"/>
        <color rgb="FF381C19"/>
        <rFont val="Arial CE"/>
        <family val="2"/>
        <charset val="238"/>
      </rPr>
      <t>2</t>
    </r>
    <r>
      <rPr>
        <sz val="10"/>
        <color rgb="FF381C19"/>
        <rFont val="Arial CE"/>
        <family val="2"/>
        <charset val="238"/>
      </rPr>
      <t xml:space="preserve"> ( metr kwadratowy), prostopadłej do kierunku tej gęstości prądu elektrycznego                                                                              1 A/m</t>
    </r>
    <r>
      <rPr>
        <vertAlign val="superscript"/>
        <sz val="10"/>
        <color rgb="FF381C19"/>
        <rFont val="Arial CE"/>
        <family val="2"/>
        <charset val="238"/>
      </rPr>
      <t>2</t>
    </r>
    <r>
      <rPr>
        <sz val="10"/>
        <color rgb="FF381C19"/>
        <rFont val="Arial CE"/>
        <family val="2"/>
        <charset val="238"/>
      </rPr>
      <t xml:space="preserve"> = 1 A : (1 m</t>
    </r>
    <r>
      <rPr>
        <vertAlign val="superscript"/>
        <sz val="10"/>
        <color rgb="FF381C19"/>
        <rFont val="Arial CE"/>
        <family val="2"/>
        <charset val="238"/>
      </rPr>
      <t>2</t>
    </r>
    <r>
      <rPr>
        <sz val="10"/>
        <color rgb="FF381C19"/>
        <rFont val="Arial CE"/>
        <family val="2"/>
        <charset val="238"/>
      </rPr>
      <t>)</t>
    </r>
  </si>
  <si>
    <r>
      <t xml:space="preserve">Om jest to opór elektryczny między dwoma powierzchniami ekwipotencjalnymi przewodu jednorodnego prostoliniowego, gdy niezmienne napięcie elektryczne 1 V (wolt) występujące                                 1 </t>
    </r>
    <r>
      <rPr>
        <sz val="10"/>
        <color rgb="FF381C19"/>
        <rFont val="Symbol"/>
        <family val="1"/>
        <charset val="2"/>
      </rPr>
      <t>W</t>
    </r>
    <r>
      <rPr>
        <sz val="10"/>
        <color rgb="FF381C19"/>
        <rFont val="Arial CE"/>
        <family val="2"/>
        <charset val="238"/>
      </rPr>
      <t xml:space="preserve"> = 1 V : (1 A)</t>
    </r>
  </si>
  <si>
    <r>
      <t xml:space="preserve">Simens jest to przewodność elektryczna przewodu o oporze elektrycznym 1 </t>
    </r>
    <r>
      <rPr>
        <sz val="10"/>
        <color rgb="FF381C19"/>
        <rFont val="Symbol"/>
        <family val="1"/>
        <charset val="2"/>
      </rPr>
      <t>W</t>
    </r>
    <r>
      <rPr>
        <sz val="10"/>
        <color rgb="FF381C19"/>
        <rFont val="Arial CE"/>
        <family val="2"/>
        <charset val="238"/>
      </rPr>
      <t xml:space="preserve"> (om)                                                                                                                        1 S = 1 : (1 </t>
    </r>
    <r>
      <rPr>
        <sz val="10"/>
        <color rgb="FF381C19"/>
        <rFont val="Symbol"/>
        <family val="1"/>
        <charset val="2"/>
      </rPr>
      <t>W</t>
    </r>
    <r>
      <rPr>
        <sz val="10"/>
        <color rgb="FF381C19"/>
        <rFont val="Arial CE"/>
        <family val="2"/>
        <charset val="238"/>
      </rPr>
      <t>)</t>
    </r>
  </si>
  <si>
    <t>%o</t>
  </si>
  <si>
    <t>1 %o = 1/1000 stosunku dwóch jednakowych wartości tej samej wielkości</t>
  </si>
  <si>
    <t>1 bit = [log21/P = 1]</t>
  </si>
  <si>
    <r>
      <t xml:space="preserve">1* = </t>
    </r>
    <r>
      <rPr>
        <sz val="10"/>
        <color rgb="FF381C19"/>
        <rFont val="Symbol"/>
        <family val="1"/>
        <charset val="2"/>
      </rPr>
      <t>p</t>
    </r>
    <r>
      <rPr>
        <sz val="10"/>
        <color rgb="FF381C19"/>
        <rFont val="Arial CE"/>
        <family val="2"/>
        <charset val="238"/>
      </rPr>
      <t>/180 rad = 1,745329 * 10</t>
    </r>
    <r>
      <rPr>
        <vertAlign val="superscript"/>
        <sz val="10"/>
        <color rgb="FF381C19"/>
        <rFont val="Arial CE"/>
        <family val="2"/>
        <charset val="238"/>
      </rPr>
      <t xml:space="preserve"> -2</t>
    </r>
    <r>
      <rPr>
        <sz val="10"/>
        <color rgb="FF381C19"/>
        <rFont val="Arial CE"/>
        <family val="2"/>
        <charset val="238"/>
      </rPr>
      <t xml:space="preserve"> rad</t>
    </r>
  </si>
  <si>
    <r>
      <t xml:space="preserve">1' =1*/60 = </t>
    </r>
    <r>
      <rPr>
        <sz val="10"/>
        <color rgb="FF381C19"/>
        <rFont val="Symbol"/>
        <family val="1"/>
        <charset val="2"/>
      </rPr>
      <t>p</t>
    </r>
    <r>
      <rPr>
        <sz val="10"/>
        <color rgb="FF381C19"/>
        <rFont val="Arial CE"/>
        <family val="2"/>
        <charset val="238"/>
      </rPr>
      <t xml:space="preserve">/10800 rad = 2,908882 * 10 </t>
    </r>
    <r>
      <rPr>
        <vertAlign val="superscript"/>
        <sz val="10"/>
        <color rgb="FF381C19"/>
        <rFont val="Arial CE"/>
        <family val="2"/>
        <charset val="238"/>
      </rPr>
      <t>-4</t>
    </r>
    <r>
      <rPr>
        <sz val="10"/>
        <color rgb="FF381C19"/>
        <rFont val="Arial CE"/>
        <family val="2"/>
        <charset val="238"/>
      </rPr>
      <t xml:space="preserve"> rad</t>
    </r>
  </si>
  <si>
    <r>
      <t xml:space="preserve">1" =1'/60 = </t>
    </r>
    <r>
      <rPr>
        <sz val="10"/>
        <color rgb="FF381C19"/>
        <rFont val="Symbol"/>
        <family val="1"/>
        <charset val="2"/>
      </rPr>
      <t>p</t>
    </r>
    <r>
      <rPr>
        <sz val="10"/>
        <color rgb="FF381C19"/>
        <rFont val="Arial CE"/>
        <family val="2"/>
        <charset val="238"/>
      </rPr>
      <t xml:space="preserve">/648000 rad = 4,84814 * 10 </t>
    </r>
    <r>
      <rPr>
        <vertAlign val="superscript"/>
        <sz val="10"/>
        <color rgb="FF381C19"/>
        <rFont val="Arial CE"/>
        <family val="2"/>
        <charset val="238"/>
      </rPr>
      <t>-6</t>
    </r>
    <r>
      <rPr>
        <sz val="10"/>
        <color rgb="FF381C19"/>
        <rFont val="Arial CE"/>
        <family val="2"/>
        <charset val="238"/>
      </rPr>
      <t xml:space="preserve"> rad</t>
    </r>
  </si>
  <si>
    <r>
      <t>1</t>
    </r>
    <r>
      <rPr>
        <vertAlign val="superscript"/>
        <sz val="10"/>
        <color rgb="FF381C19"/>
        <rFont val="Arial CE"/>
        <family val="2"/>
        <charset val="238"/>
      </rPr>
      <t>g</t>
    </r>
    <r>
      <rPr>
        <sz val="10"/>
        <color rgb="FF381C19"/>
        <rFont val="Arial CE"/>
        <family val="2"/>
        <charset val="238"/>
      </rPr>
      <t xml:space="preserve"> = </t>
    </r>
    <r>
      <rPr>
        <sz val="10"/>
        <color rgb="FF381C19"/>
        <rFont val="Symbol"/>
        <family val="1"/>
        <charset val="2"/>
      </rPr>
      <t>p</t>
    </r>
    <r>
      <rPr>
        <sz val="10"/>
        <color rgb="FF381C19"/>
        <rFont val="Arial CE"/>
        <family val="2"/>
        <charset val="238"/>
      </rPr>
      <t xml:space="preserve">/200 rad = 1,570796 * 10 </t>
    </r>
    <r>
      <rPr>
        <vertAlign val="superscript"/>
        <sz val="10"/>
        <color rgb="FF381C19"/>
        <rFont val="Arial CE"/>
        <family val="2"/>
        <charset val="238"/>
      </rPr>
      <t>-2</t>
    </r>
    <r>
      <rPr>
        <sz val="10"/>
        <color rgb="FF381C19"/>
        <rFont val="Arial CE"/>
        <family val="2"/>
        <charset val="238"/>
      </rPr>
      <t xml:space="preserve"> rad</t>
    </r>
  </si>
  <si>
    <r>
      <t xml:space="preserve">1 obr/s = 2 </t>
    </r>
    <r>
      <rPr>
        <sz val="10"/>
        <color rgb="FF381C19"/>
        <rFont val="Symbol"/>
        <family val="1"/>
        <charset val="2"/>
      </rPr>
      <t>p</t>
    </r>
    <r>
      <rPr>
        <sz val="10"/>
        <color rgb="FF381C19"/>
        <rFont val="Arial CE"/>
        <family val="2"/>
        <charset val="238"/>
      </rPr>
      <t xml:space="preserve"> rad/s</t>
    </r>
  </si>
  <si>
    <r>
      <t xml:space="preserve">1 obr/min = 2 </t>
    </r>
    <r>
      <rPr>
        <sz val="10"/>
        <color rgb="FF381C19"/>
        <rFont val="Symbol"/>
        <family val="1"/>
        <charset val="2"/>
      </rPr>
      <t>p</t>
    </r>
    <r>
      <rPr>
        <sz val="10"/>
        <color rgb="FF381C19"/>
        <rFont val="Arial CE"/>
        <family val="2"/>
        <charset val="238"/>
      </rPr>
      <t xml:space="preserve"> / 60 rad/s</t>
    </r>
  </si>
  <si>
    <r>
      <t>1 kW * h = 3,6 * 10</t>
    </r>
    <r>
      <rPr>
        <vertAlign val="superscript"/>
        <sz val="10"/>
        <color rgb="FF381C19"/>
        <rFont val="Arial CE"/>
        <family val="2"/>
        <charset val="238"/>
      </rPr>
      <t>6</t>
    </r>
    <r>
      <rPr>
        <sz val="10"/>
        <color rgb="FF381C19"/>
        <rFont val="Arial CE"/>
        <family val="2"/>
        <charset val="238"/>
      </rPr>
      <t xml:space="preserve"> J</t>
    </r>
  </si>
  <si>
    <r>
      <t>1 eV ~1,60219 * 10</t>
    </r>
    <r>
      <rPr>
        <vertAlign val="superscript"/>
        <sz val="10"/>
        <color rgb="FF381C19"/>
        <rFont val="Arial CE"/>
        <family val="2"/>
        <charset val="238"/>
      </rPr>
      <t>-19</t>
    </r>
    <r>
      <rPr>
        <sz val="10"/>
        <color rgb="FF381C19"/>
        <rFont val="Arial CE"/>
        <family val="2"/>
        <charset val="238"/>
      </rPr>
      <t xml:space="preserve"> J</t>
    </r>
  </si>
  <si>
    <r>
      <t>1 B ~6,324556 * 10</t>
    </r>
    <r>
      <rPr>
        <vertAlign val="superscript"/>
        <sz val="10"/>
        <color rgb="FF381C19"/>
        <rFont val="Arial CE"/>
        <family val="2"/>
        <charset val="238"/>
      </rPr>
      <t>-5</t>
    </r>
    <r>
      <rPr>
        <sz val="10"/>
        <color rgb="FF381C19"/>
        <rFont val="Arial CE"/>
        <family val="2"/>
        <charset val="238"/>
      </rPr>
      <t xml:space="preserve"> Pa</t>
    </r>
  </si>
  <si>
    <r>
      <t>1 dioptria = 1 m</t>
    </r>
    <r>
      <rPr>
        <vertAlign val="superscript"/>
        <sz val="10"/>
        <color rgb="FF381C19"/>
        <rFont val="Arial CE"/>
        <family val="2"/>
        <charset val="238"/>
      </rPr>
      <t>-1</t>
    </r>
  </si>
  <si>
    <r>
      <t>1 A = 10</t>
    </r>
    <r>
      <rPr>
        <vertAlign val="superscript"/>
        <sz val="10"/>
        <color rgb="FF381C19"/>
        <rFont val="Arial CE"/>
        <family val="2"/>
        <charset val="238"/>
      </rPr>
      <t xml:space="preserve">-10 </t>
    </r>
    <r>
      <rPr>
        <sz val="10"/>
        <color rgb="FF381C19"/>
        <rFont val="Arial CE"/>
        <family val="2"/>
        <charset val="238"/>
      </rPr>
      <t>m</t>
    </r>
  </si>
  <si>
    <r>
      <t>1 RT = 100 stóp sześciennych ~2,8317 m</t>
    </r>
    <r>
      <rPr>
        <vertAlign val="superscript"/>
        <sz val="10"/>
        <color rgb="FF381C19"/>
        <rFont val="Arial CE"/>
        <family val="2"/>
        <charset val="238"/>
      </rPr>
      <t>3</t>
    </r>
  </si>
  <si>
    <r>
      <t>1 stopa sześcienna ~ 0,028317 m</t>
    </r>
    <r>
      <rPr>
        <vertAlign val="superscript"/>
        <sz val="10"/>
        <color rgb="FF381C19"/>
        <rFont val="Arial CE"/>
        <family val="2"/>
        <charset val="238"/>
      </rPr>
      <t>3</t>
    </r>
  </si>
  <si>
    <r>
      <t>1 bar = 10</t>
    </r>
    <r>
      <rPr>
        <vertAlign val="superscript"/>
        <sz val="10"/>
        <color rgb="FF381C19"/>
        <rFont val="Arial CE"/>
        <family val="2"/>
        <charset val="238"/>
      </rPr>
      <t>5</t>
    </r>
    <r>
      <rPr>
        <sz val="10"/>
        <color rgb="FF381C19"/>
        <rFont val="Arial CE"/>
        <family val="2"/>
        <charset val="238"/>
      </rPr>
      <t xml:space="preserve"> Pa</t>
    </r>
  </si>
  <si>
    <r>
      <t>1 at = 1 kG/cm</t>
    </r>
    <r>
      <rPr>
        <vertAlign val="superscript"/>
        <sz val="10"/>
        <color rgb="FF381C19"/>
        <rFont val="Arial CE"/>
        <family val="2"/>
        <charset val="238"/>
      </rPr>
      <t>2</t>
    </r>
    <r>
      <rPr>
        <sz val="10"/>
        <color rgb="FF381C19"/>
        <rFont val="Arial CE"/>
        <family val="2"/>
        <charset val="238"/>
      </rPr>
      <t xml:space="preserve"> = 98066,5 Pa</t>
    </r>
  </si>
  <si>
    <r>
      <t>dyn/cm</t>
    </r>
    <r>
      <rPr>
        <vertAlign val="superscript"/>
        <sz val="10"/>
        <color rgb="FF381C19"/>
        <rFont val="Arial CE"/>
        <family val="2"/>
        <charset val="238"/>
      </rPr>
      <t>2</t>
    </r>
  </si>
  <si>
    <r>
      <t>1 dyn/cm</t>
    </r>
    <r>
      <rPr>
        <vertAlign val="superscript"/>
        <sz val="10"/>
        <color rgb="FF381C19"/>
        <rFont val="Arial CE"/>
        <family val="2"/>
        <charset val="238"/>
      </rPr>
      <t>2</t>
    </r>
    <r>
      <rPr>
        <sz val="10"/>
        <color rgb="FF381C19"/>
        <rFont val="Arial CE"/>
        <family val="2"/>
        <charset val="238"/>
      </rPr>
      <t xml:space="preserve"> = 10</t>
    </r>
    <r>
      <rPr>
        <vertAlign val="superscript"/>
        <sz val="10"/>
        <color rgb="FF381C19"/>
        <rFont val="Arial CE"/>
        <family val="2"/>
        <charset val="238"/>
      </rPr>
      <t>-1</t>
    </r>
    <r>
      <rPr>
        <sz val="10"/>
        <color rgb="FF381C19"/>
        <rFont val="Arial CE"/>
        <family val="2"/>
        <charset val="238"/>
      </rPr>
      <t xml:space="preserve"> Pa</t>
    </r>
  </si>
  <si>
    <r>
      <t>1 dyn = 10</t>
    </r>
    <r>
      <rPr>
        <vertAlign val="superscript"/>
        <sz val="10"/>
        <color rgb="FF381C19"/>
        <rFont val="Arial CE"/>
        <family val="2"/>
        <charset val="238"/>
      </rPr>
      <t>-5</t>
    </r>
    <r>
      <rPr>
        <sz val="10"/>
        <color rgb="FF381C19"/>
        <rFont val="Arial CE"/>
        <family val="2"/>
        <charset val="238"/>
      </rPr>
      <t xml:space="preserve"> N</t>
    </r>
  </si>
  <si>
    <r>
      <t>1 erg = 10</t>
    </r>
    <r>
      <rPr>
        <vertAlign val="superscript"/>
        <sz val="10"/>
        <color rgb="FF381C19"/>
        <rFont val="Arial CE"/>
        <family val="2"/>
        <charset val="238"/>
      </rPr>
      <t>-7</t>
    </r>
    <r>
      <rPr>
        <sz val="10"/>
        <color rgb="FF381C19"/>
        <rFont val="Arial CE"/>
        <family val="2"/>
        <charset val="238"/>
      </rPr>
      <t xml:space="preserve"> J</t>
    </r>
  </si>
  <si>
    <r>
      <t>1 erg/s = 10</t>
    </r>
    <r>
      <rPr>
        <vertAlign val="superscript"/>
        <sz val="10"/>
        <color rgb="FF381C19"/>
        <rFont val="Arial CE"/>
        <family val="2"/>
        <charset val="238"/>
      </rPr>
      <t>-7</t>
    </r>
    <r>
      <rPr>
        <sz val="10"/>
        <color rgb="FF381C19"/>
        <rFont val="Arial CE"/>
        <family val="2"/>
        <charset val="238"/>
      </rPr>
      <t xml:space="preserve"> W</t>
    </r>
  </si>
  <si>
    <r>
      <t>1 Gs = 10</t>
    </r>
    <r>
      <rPr>
        <vertAlign val="superscript"/>
        <sz val="10"/>
        <color rgb="FF381C19"/>
        <rFont val="Arial CE"/>
        <family val="2"/>
        <charset val="238"/>
      </rPr>
      <t>-4</t>
    </r>
    <r>
      <rPr>
        <sz val="10"/>
        <color rgb="FF381C19"/>
        <rFont val="Arial CE"/>
        <family val="2"/>
        <charset val="238"/>
      </rPr>
      <t xml:space="preserve"> T</t>
    </r>
  </si>
  <si>
    <r>
      <t>1 Oe = 1/4</t>
    </r>
    <r>
      <rPr>
        <sz val="10"/>
        <color rgb="FF381C19"/>
        <rFont val="Symbol"/>
        <family val="1"/>
        <charset val="2"/>
      </rPr>
      <t>p</t>
    </r>
    <r>
      <rPr>
        <sz val="10"/>
        <color rgb="FF381C19"/>
        <rFont val="Arial CE"/>
        <family val="2"/>
        <charset val="238"/>
      </rPr>
      <t xml:space="preserve"> * 10</t>
    </r>
    <r>
      <rPr>
        <vertAlign val="superscript"/>
        <sz val="10"/>
        <color rgb="FF381C19"/>
        <rFont val="Arial CE"/>
        <family val="2"/>
        <charset val="238"/>
      </rPr>
      <t>3</t>
    </r>
    <r>
      <rPr>
        <sz val="10"/>
        <color rgb="FF381C19"/>
        <rFont val="Arial CE"/>
        <family val="2"/>
        <charset val="238"/>
      </rPr>
      <t xml:space="preserve"> A/m</t>
    </r>
  </si>
  <si>
    <r>
      <t>1 Mx = 10</t>
    </r>
    <r>
      <rPr>
        <vertAlign val="superscript"/>
        <sz val="10"/>
        <color rgb="FF381C19"/>
        <rFont val="Arial CE"/>
        <family val="2"/>
        <charset val="238"/>
      </rPr>
      <t>-8</t>
    </r>
    <r>
      <rPr>
        <sz val="10"/>
        <color rgb="FF381C19"/>
        <rFont val="Arial CE"/>
        <family val="2"/>
        <charset val="238"/>
      </rPr>
      <t xml:space="preserve"> Wb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</si>
</sst>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000"/>
    <numFmt numFmtId="165" formatCode="0.0"/>
    <numFmt numFmtId="166" formatCode="0.000"/>
    <numFmt numFmtId="167" formatCode="0.000000000"/>
    <numFmt numFmtId="168" formatCode="0.000000000000"/>
    <numFmt numFmtId="169" formatCode="0.000000000000000"/>
    <numFmt numFmtId="170" formatCode="0.000000000000000000"/>
    <numFmt numFmtId="171" formatCode="0.0000000000"/>
  </numFmts>
  <fonts count="53" x14ac:knownFonts="1">
    <font>
      <sz val="10"/>
      <name val="Arial CE"/>
      <charset val="238"/>
    </font>
    <font>
      <sz val="12"/>
      <name val="Arial CE"/>
      <family val="2"/>
      <charset val="238"/>
    </font>
    <font>
      <sz val="14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Arial CE"/>
      <family val="2"/>
      <charset val="238"/>
    </font>
    <font>
      <b/>
      <sz val="12"/>
      <name val="Arial CE"/>
      <family val="2"/>
      <charset val="238"/>
    </font>
    <font>
      <u/>
      <sz val="12"/>
      <color indexed="12"/>
      <name val="Arial CE"/>
      <family val="2"/>
      <charset val="238"/>
    </font>
    <font>
      <b/>
      <sz val="10"/>
      <name val="Arial CE"/>
      <family val="2"/>
      <charset val="238"/>
    </font>
    <font>
      <b/>
      <i/>
      <sz val="10"/>
      <name val="Arial CE"/>
      <family val="2"/>
      <charset val="238"/>
    </font>
    <font>
      <b/>
      <sz val="12"/>
      <name val="Symbol"/>
      <family val="1"/>
      <charset val="2"/>
    </font>
    <font>
      <b/>
      <sz val="11"/>
      <name val="Arial CE"/>
      <family val="2"/>
      <charset val="238"/>
    </font>
    <font>
      <b/>
      <sz val="12"/>
      <color indexed="12"/>
      <name val="Arial CE"/>
      <family val="2"/>
      <charset val="238"/>
    </font>
    <font>
      <b/>
      <sz val="13"/>
      <name val="Arial CE"/>
      <family val="2"/>
      <charset val="238"/>
    </font>
    <font>
      <sz val="14"/>
      <color indexed="18"/>
      <name val="Arial CE"/>
      <family val="2"/>
      <charset val="238"/>
    </font>
    <font>
      <u/>
      <sz val="12"/>
      <color indexed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58"/>
      <name val="Arial"/>
      <family val="2"/>
      <charset val="238"/>
    </font>
    <font>
      <sz val="14"/>
      <name val="Arial"/>
      <family val="2"/>
      <charset val="238"/>
    </font>
    <font>
      <b/>
      <sz val="14"/>
      <color rgb="FF055B87"/>
      <name val="Arial"/>
      <family val="2"/>
      <charset val="238"/>
    </font>
    <font>
      <sz val="10"/>
      <color rgb="FF381C19"/>
      <name val="Arial"/>
      <family val="2"/>
      <charset val="238"/>
    </font>
    <font>
      <b/>
      <sz val="10"/>
      <color rgb="FFD2382A"/>
      <name val="Arial"/>
      <family val="2"/>
      <charset val="238"/>
    </font>
    <font>
      <u/>
      <sz val="10"/>
      <color rgb="FF055B87"/>
      <name val="Arial"/>
      <family val="2"/>
      <charset val="238"/>
    </font>
    <font>
      <sz val="10"/>
      <color rgb="FF055B87"/>
      <name val="Arial"/>
      <family val="2"/>
      <charset val="238"/>
    </font>
    <font>
      <sz val="16"/>
      <color rgb="FF381C19"/>
      <name val="Arial"/>
      <family val="2"/>
      <charset val="238"/>
    </font>
    <font>
      <sz val="12"/>
      <color rgb="FF006C69"/>
      <name val="Arial"/>
      <family val="2"/>
      <charset val="238"/>
    </font>
    <font>
      <sz val="10"/>
      <color rgb="FF055B87"/>
      <name val="Arial CE"/>
      <charset val="238"/>
    </font>
    <font>
      <sz val="12"/>
      <color rgb="FF006C69"/>
      <name val="Arial CE"/>
      <charset val="238"/>
    </font>
    <font>
      <sz val="13"/>
      <color rgb="FF006C69"/>
      <name val="Arial CE"/>
      <charset val="238"/>
    </font>
    <font>
      <b/>
      <sz val="10"/>
      <color rgb="FF055B87"/>
      <name val="Arial CE"/>
      <family val="2"/>
      <charset val="238"/>
    </font>
    <font>
      <b/>
      <sz val="12"/>
      <color rgb="FF055B87"/>
      <name val="Arial CE"/>
      <family val="2"/>
      <charset val="238"/>
    </font>
    <font>
      <sz val="12"/>
      <color rgb="FF055B87"/>
      <name val="Arial CE"/>
      <family val="2"/>
      <charset val="238"/>
    </font>
    <font>
      <sz val="10"/>
      <color rgb="FFD2382A"/>
      <name val="Arial"/>
      <family val="2"/>
      <charset val="238"/>
    </font>
    <font>
      <sz val="14"/>
      <color rgb="FF055B87"/>
      <name val="Arial CE"/>
      <family val="2"/>
      <charset val="238"/>
    </font>
    <font>
      <sz val="12"/>
      <color rgb="FF381C19"/>
      <name val="Arial"/>
      <family val="2"/>
      <charset val="238"/>
    </font>
    <font>
      <b/>
      <sz val="12"/>
      <color rgb="FF381C19"/>
      <name val="Arial CE"/>
      <family val="2"/>
      <charset val="238"/>
    </font>
    <font>
      <sz val="12"/>
      <color rgb="FF381C19"/>
      <name val="Arial CE"/>
      <charset val="238"/>
    </font>
    <font>
      <vertAlign val="superscript"/>
      <sz val="12"/>
      <color rgb="FF381C19"/>
      <name val="Arial CE"/>
      <charset val="238"/>
    </font>
    <font>
      <sz val="12"/>
      <color rgb="FF381C19"/>
      <name val="Arial CE"/>
      <family val="2"/>
      <charset val="238"/>
    </font>
    <font>
      <vertAlign val="superscript"/>
      <sz val="12"/>
      <color rgb="FF381C19"/>
      <name val="Arial CE"/>
      <family val="2"/>
      <charset val="238"/>
    </font>
    <font>
      <sz val="14"/>
      <color rgb="FF381C19"/>
      <name val="Arial CE"/>
      <charset val="238"/>
    </font>
    <font>
      <b/>
      <sz val="12"/>
      <color rgb="FF381C19"/>
      <name val="Arial CE"/>
      <charset val="238"/>
    </font>
    <font>
      <sz val="10"/>
      <color rgb="FF381C19"/>
      <name val="Arial CE"/>
      <family val="2"/>
      <charset val="238"/>
    </font>
    <font>
      <vertAlign val="superscript"/>
      <sz val="10"/>
      <color rgb="FF381C19"/>
      <name val="Arial CE"/>
      <family val="2"/>
      <charset val="238"/>
    </font>
    <font>
      <sz val="10"/>
      <color rgb="FF381C19"/>
      <name val="Symbol"/>
      <family val="1"/>
      <charset val="238"/>
    </font>
    <font>
      <sz val="10"/>
      <color rgb="FF381C19"/>
      <name val="Symbol"/>
      <family val="1"/>
      <charset val="2"/>
    </font>
    <font>
      <i/>
      <sz val="10"/>
      <color rgb="FF381C19"/>
      <name val="Arial CE"/>
      <family val="2"/>
      <charset val="238"/>
    </font>
    <font>
      <vertAlign val="subscript"/>
      <sz val="10"/>
      <color rgb="FF381C19"/>
      <name val="Symbol"/>
      <family val="1"/>
      <charset val="2"/>
    </font>
    <font>
      <sz val="12"/>
      <color rgb="FF055B87"/>
      <name val="Arial CE"/>
      <charset val="238"/>
    </font>
    <font>
      <b/>
      <sz val="10"/>
      <color rgb="FF381C19"/>
      <name val="Arial CE"/>
      <charset val="238"/>
    </font>
    <font>
      <b/>
      <sz val="10"/>
      <color rgb="FF381C19"/>
      <name val="Arial CE"/>
      <family val="2"/>
      <charset val="238"/>
    </font>
    <font>
      <b/>
      <i/>
      <sz val="10"/>
      <color rgb="FF381C19"/>
      <name val="Arial CE"/>
      <family val="2"/>
      <charset val="238"/>
    </font>
    <font>
      <sz val="10"/>
      <color rgb="FF381C19"/>
      <name val="Arial CE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2F2F2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92">
    <xf numFmtId="0" fontId="0" fillId="0" borderId="0" xfId="0"/>
    <xf numFmtId="0" fontId="5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wrapText="1"/>
    </xf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left" wrapText="1"/>
    </xf>
    <xf numFmtId="0" fontId="5" fillId="2" borderId="7" xfId="0" applyFont="1" applyFill="1" applyBorder="1" applyAlignment="1">
      <alignment horizontal="left" wrapText="1"/>
    </xf>
    <xf numFmtId="0" fontId="5" fillId="2" borderId="8" xfId="0" applyFont="1" applyFill="1" applyBorder="1" applyAlignment="1">
      <alignment horizontal="center" wrapText="1"/>
    </xf>
    <xf numFmtId="0" fontId="5" fillId="2" borderId="9" xfId="0" applyFont="1" applyFill="1" applyBorder="1" applyAlignment="1">
      <alignment horizontal="center" wrapText="1"/>
    </xf>
    <xf numFmtId="0" fontId="5" fillId="2" borderId="9" xfId="0" applyFont="1" applyFill="1" applyBorder="1" applyAlignment="1">
      <alignment horizontal="left" wrapText="1"/>
    </xf>
    <xf numFmtId="0" fontId="5" fillId="2" borderId="8" xfId="0" applyFont="1" applyFill="1" applyBorder="1" applyAlignment="1">
      <alignment horizontal="left" wrapText="1"/>
    </xf>
    <xf numFmtId="0" fontId="5" fillId="2" borderId="10" xfId="0" applyFont="1" applyFill="1" applyBorder="1" applyAlignment="1">
      <alignment horizontal="left" wrapText="1"/>
    </xf>
    <xf numFmtId="0" fontId="0" fillId="2" borderId="0" xfId="0" applyFill="1"/>
    <xf numFmtId="0" fontId="2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/>
    </xf>
    <xf numFmtId="0" fontId="6" fillId="2" borderId="0" xfId="1" applyFont="1" applyFill="1" applyAlignment="1" applyProtection="1">
      <alignment horizontal="center" vertical="top"/>
    </xf>
    <xf numFmtId="0" fontId="11" fillId="2" borderId="0" xfId="0" applyFont="1" applyFill="1" applyAlignment="1">
      <alignment horizontal="center" vertical="top" wrapText="1"/>
    </xf>
    <xf numFmtId="0" fontId="5" fillId="2" borderId="0" xfId="0" applyFont="1" applyFill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5" fillId="2" borderId="0" xfId="0" applyFont="1" applyFill="1" applyBorder="1" applyAlignment="1" applyProtection="1">
      <alignment horizontal="center" vertical="center" wrapText="1"/>
    </xf>
    <xf numFmtId="0" fontId="5" fillId="2" borderId="0" xfId="0" applyFont="1" applyFill="1" applyAlignment="1" applyProtection="1">
      <alignment horizontal="center"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Alignment="1" applyProtection="1">
      <alignment horizontal="center" vertical="center" wrapText="1"/>
    </xf>
    <xf numFmtId="0" fontId="4" fillId="2" borderId="0" xfId="0" applyFont="1" applyFill="1" applyAlignment="1" applyProtection="1">
      <alignment horizontal="center"/>
    </xf>
    <xf numFmtId="0" fontId="5" fillId="2" borderId="0" xfId="0" applyFont="1" applyFill="1" applyAlignment="1" applyProtection="1">
      <alignment horizontal="center" wrapText="1"/>
    </xf>
    <xf numFmtId="0" fontId="5" fillId="2" borderId="0" xfId="0" applyFont="1" applyFill="1" applyBorder="1" applyAlignment="1" applyProtection="1">
      <alignment horizontal="center" wrapText="1"/>
    </xf>
    <xf numFmtId="0" fontId="2" fillId="2" borderId="0" xfId="0" applyFont="1" applyFill="1" applyAlignment="1" applyProtection="1">
      <alignment horizontal="center" wrapText="1"/>
    </xf>
    <xf numFmtId="0" fontId="12" fillId="2" borderId="0" xfId="0" applyFont="1" applyFill="1" applyBorder="1" applyAlignment="1" applyProtection="1">
      <alignment horizontal="center" wrapText="1"/>
    </xf>
    <xf numFmtId="0" fontId="5" fillId="2" borderId="0" xfId="0" applyNumberFormat="1" applyFont="1" applyFill="1" applyBorder="1" applyAlignment="1" applyProtection="1">
      <alignment horizontal="center" wrapText="1"/>
    </xf>
    <xf numFmtId="0" fontId="2" fillId="2" borderId="0" xfId="0" applyFont="1" applyFill="1" applyBorder="1" applyAlignment="1" applyProtection="1">
      <alignment horizontal="center" wrapText="1"/>
    </xf>
    <xf numFmtId="0" fontId="13" fillId="2" borderId="0" xfId="0" applyFont="1" applyFill="1" applyAlignment="1" applyProtection="1">
      <alignment horizontal="center" vertical="top"/>
    </xf>
    <xf numFmtId="0" fontId="4" fillId="2" borderId="0" xfId="0" applyFont="1" applyFill="1" applyAlignment="1" applyProtection="1">
      <alignment horizontal="center" vertical="top"/>
    </xf>
    <xf numFmtId="0" fontId="2" fillId="2" borderId="0" xfId="0" applyFont="1" applyFill="1" applyAlignment="1" applyProtection="1">
      <alignment horizontal="center" vertical="top"/>
    </xf>
    <xf numFmtId="0" fontId="1" fillId="2" borderId="0" xfId="0" applyFont="1" applyFill="1" applyAlignment="1" applyProtection="1">
      <alignment horizontal="center" wrapText="1"/>
    </xf>
    <xf numFmtId="0" fontId="4" fillId="2" borderId="0" xfId="0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/>
    </xf>
    <xf numFmtId="0" fontId="15" fillId="2" borderId="0" xfId="1" applyFont="1" applyFill="1" applyAlignment="1" applyProtection="1"/>
    <xf numFmtId="0" fontId="16" fillId="2" borderId="0" xfId="0" applyFont="1" applyFill="1"/>
    <xf numFmtId="0" fontId="17" fillId="2" borderId="0" xfId="0" applyFont="1" applyFill="1"/>
    <xf numFmtId="0" fontId="16" fillId="0" borderId="0" xfId="0" applyFont="1"/>
    <xf numFmtId="0" fontId="19" fillId="0" borderId="0" xfId="0" applyFont="1" applyAlignment="1">
      <alignment horizontal="left" vertical="center"/>
    </xf>
    <xf numFmtId="0" fontId="20" fillId="0" borderId="0" xfId="0" applyFont="1"/>
    <xf numFmtId="0" fontId="21" fillId="2" borderId="14" xfId="0" applyFont="1" applyFill="1" applyBorder="1" applyAlignment="1">
      <alignment horizontal="center"/>
    </xf>
    <xf numFmtId="0" fontId="17" fillId="2" borderId="15" xfId="0" applyFont="1" applyFill="1" applyBorder="1"/>
    <xf numFmtId="0" fontId="21" fillId="2" borderId="16" xfId="0" applyFont="1" applyFill="1" applyBorder="1" applyAlignment="1">
      <alignment horizontal="center"/>
    </xf>
    <xf numFmtId="0" fontId="22" fillId="2" borderId="14" xfId="1" applyFont="1" applyFill="1" applyBorder="1" applyAlignment="1" applyProtection="1">
      <alignment horizontal="center"/>
    </xf>
    <xf numFmtId="0" fontId="23" fillId="2" borderId="15" xfId="0" applyFont="1" applyFill="1" applyBorder="1"/>
    <xf numFmtId="0" fontId="22" fillId="2" borderId="16" xfId="1" applyFont="1" applyFill="1" applyBorder="1" applyAlignment="1" applyProtection="1">
      <alignment horizontal="center"/>
    </xf>
    <xf numFmtId="0" fontId="22" fillId="2" borderId="17" xfId="1" applyFont="1" applyFill="1" applyBorder="1" applyAlignment="1" applyProtection="1">
      <alignment horizontal="center"/>
    </xf>
    <xf numFmtId="0" fontId="23" fillId="2" borderId="0" xfId="0" applyFont="1" applyFill="1" applyBorder="1"/>
    <xf numFmtId="0" fontId="22" fillId="2" borderId="18" xfId="1" applyFont="1" applyFill="1" applyBorder="1" applyAlignment="1" applyProtection="1">
      <alignment horizontal="center"/>
    </xf>
    <xf numFmtId="0" fontId="23" fillId="2" borderId="18" xfId="0" applyFont="1" applyFill="1" applyBorder="1" applyAlignment="1">
      <alignment horizontal="center"/>
    </xf>
    <xf numFmtId="0" fontId="16" fillId="2" borderId="19" xfId="0" applyFont="1" applyFill="1" applyBorder="1"/>
    <xf numFmtId="0" fontId="16" fillId="2" borderId="20" xfId="0" applyFont="1" applyFill="1" applyBorder="1"/>
    <xf numFmtId="0" fontId="16" fillId="2" borderId="21" xfId="0" applyFont="1" applyFill="1" applyBorder="1"/>
    <xf numFmtId="0" fontId="24" fillId="0" borderId="0" xfId="0" applyFont="1"/>
    <xf numFmtId="0" fontId="14" fillId="2" borderId="0" xfId="1" applyFont="1" applyFill="1" applyAlignment="1" applyProtection="1">
      <alignment horizontal="left"/>
    </xf>
    <xf numFmtId="0" fontId="18" fillId="2" borderId="0" xfId="0" applyFont="1" applyFill="1" applyAlignment="1">
      <alignment horizontal="center"/>
    </xf>
    <xf numFmtId="0" fontId="18" fillId="2" borderId="11" xfId="0" applyFont="1" applyFill="1" applyBorder="1" applyAlignment="1">
      <alignment horizontal="center"/>
    </xf>
    <xf numFmtId="0" fontId="18" fillId="2" borderId="2" xfId="0" applyFont="1" applyFill="1" applyBorder="1" applyAlignment="1">
      <alignment horizontal="center"/>
    </xf>
    <xf numFmtId="0" fontId="25" fillId="3" borderId="6" xfId="0" applyFont="1" applyFill="1" applyBorder="1" applyAlignment="1" applyProtection="1">
      <alignment horizontal="center"/>
      <protection locked="0"/>
    </xf>
    <xf numFmtId="0" fontId="25" fillId="3" borderId="7" xfId="0" applyFont="1" applyFill="1" applyBorder="1" applyAlignment="1" applyProtection="1">
      <alignment horizontal="center"/>
      <protection locked="0"/>
    </xf>
    <xf numFmtId="164" fontId="23" fillId="2" borderId="6" xfId="0" applyNumberFormat="1" applyFont="1" applyFill="1" applyBorder="1" applyAlignment="1">
      <alignment horizontal="center"/>
    </xf>
    <xf numFmtId="164" fontId="23" fillId="2" borderId="7" xfId="0" applyNumberFormat="1" applyFont="1" applyFill="1" applyBorder="1" applyAlignment="1">
      <alignment horizontal="center"/>
    </xf>
    <xf numFmtId="164" fontId="23" fillId="2" borderId="9" xfId="0" applyNumberFormat="1" applyFont="1" applyFill="1" applyBorder="1" applyAlignment="1">
      <alignment horizontal="center"/>
    </xf>
    <xf numFmtId="164" fontId="23" fillId="2" borderId="10" xfId="0" applyNumberFormat="1" applyFont="1" applyFill="1" applyBorder="1" applyAlignment="1">
      <alignment horizontal="center"/>
    </xf>
    <xf numFmtId="0" fontId="26" fillId="2" borderId="6" xfId="0" applyNumberFormat="1" applyFont="1" applyFill="1" applyBorder="1" applyAlignment="1" applyProtection="1">
      <alignment horizontal="center"/>
      <protection hidden="1"/>
    </xf>
    <xf numFmtId="0" fontId="26" fillId="2" borderId="7" xfId="0" applyNumberFormat="1" applyFont="1" applyFill="1" applyBorder="1" applyAlignment="1" applyProtection="1">
      <alignment horizontal="center"/>
      <protection hidden="1"/>
    </xf>
    <xf numFmtId="0" fontId="26" fillId="2" borderId="6" xfId="0" applyNumberFormat="1" applyFont="1" applyFill="1" applyBorder="1" applyAlignment="1">
      <alignment horizontal="center"/>
    </xf>
    <xf numFmtId="0" fontId="26" fillId="2" borderId="6" xfId="0" applyNumberFormat="1" applyFont="1" applyFill="1" applyBorder="1" applyAlignment="1" applyProtection="1">
      <alignment horizontal="center"/>
      <protection locked="0"/>
    </xf>
    <xf numFmtId="0" fontId="26" fillId="2" borderId="7" xfId="0" applyNumberFormat="1" applyFont="1" applyFill="1" applyBorder="1" applyAlignment="1">
      <alignment horizontal="center"/>
    </xf>
    <xf numFmtId="0" fontId="26" fillId="2" borderId="9" xfId="0" applyNumberFormat="1" applyFont="1" applyFill="1" applyBorder="1" applyAlignment="1">
      <alignment horizontal="center"/>
    </xf>
    <xf numFmtId="0" fontId="26" fillId="2" borderId="10" xfId="0" applyNumberFormat="1" applyFont="1" applyFill="1" applyBorder="1" applyAlignment="1">
      <alignment horizontal="center"/>
    </xf>
    <xf numFmtId="0" fontId="27" fillId="3" borderId="6" xfId="0" applyFont="1" applyFill="1" applyBorder="1" applyAlignment="1" applyProtection="1">
      <alignment horizontal="center"/>
      <protection locked="0"/>
    </xf>
    <xf numFmtId="0" fontId="27" fillId="3" borderId="6" xfId="0" applyNumberFormat="1" applyFont="1" applyFill="1" applyBorder="1" applyAlignment="1" applyProtection="1">
      <alignment horizontal="center"/>
      <protection locked="0"/>
    </xf>
    <xf numFmtId="0" fontId="27" fillId="3" borderId="7" xfId="0" applyNumberFormat="1" applyFont="1" applyFill="1" applyBorder="1" applyAlignment="1" applyProtection="1">
      <alignment horizontal="center"/>
      <protection locked="0"/>
    </xf>
    <xf numFmtId="0" fontId="27" fillId="3" borderId="6" xfId="0" applyFont="1" applyFill="1" applyBorder="1" applyAlignment="1" applyProtection="1">
      <alignment horizontal="center" wrapText="1"/>
      <protection locked="0"/>
    </xf>
    <xf numFmtId="0" fontId="27" fillId="3" borderId="7" xfId="0" applyFont="1" applyFill="1" applyBorder="1" applyAlignment="1" applyProtection="1">
      <alignment horizontal="center" wrapText="1"/>
      <protection locked="0"/>
    </xf>
    <xf numFmtId="0" fontId="25" fillId="3" borderId="6" xfId="0" applyFont="1" applyFill="1" applyBorder="1" applyAlignment="1" applyProtection="1">
      <alignment horizontal="center" wrapText="1"/>
      <protection locked="0"/>
    </xf>
    <xf numFmtId="0" fontId="25" fillId="3" borderId="7" xfId="0" applyFont="1" applyFill="1" applyBorder="1" applyAlignment="1" applyProtection="1">
      <alignment horizontal="center" wrapText="1"/>
      <protection locked="0"/>
    </xf>
    <xf numFmtId="0" fontId="26" fillId="2" borderId="6" xfId="0" applyNumberFormat="1" applyFont="1" applyFill="1" applyBorder="1" applyAlignment="1">
      <alignment horizontal="center" wrapText="1"/>
    </xf>
    <xf numFmtId="0" fontId="26" fillId="2" borderId="7" xfId="0" applyNumberFormat="1" applyFont="1" applyFill="1" applyBorder="1" applyAlignment="1">
      <alignment horizontal="center" wrapText="1"/>
    </xf>
    <xf numFmtId="0" fontId="26" fillId="2" borderId="3" xfId="0" applyNumberFormat="1" applyFont="1" applyFill="1" applyBorder="1" applyAlignment="1">
      <alignment horizontal="center" wrapText="1"/>
    </xf>
    <xf numFmtId="0" fontId="26" fillId="2" borderId="9" xfId="0" applyNumberFormat="1" applyFont="1" applyFill="1" applyBorder="1" applyAlignment="1">
      <alignment horizontal="center" wrapText="1"/>
    </xf>
    <xf numFmtId="0" fontId="26" fillId="2" borderId="10" xfId="0" applyNumberFormat="1" applyFont="1" applyFill="1" applyBorder="1" applyAlignment="1">
      <alignment horizontal="center" wrapText="1"/>
    </xf>
    <xf numFmtId="0" fontId="27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27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6" xfId="0" applyNumberFormat="1" applyFont="1" applyFill="1" applyBorder="1" applyAlignment="1" applyProtection="1">
      <alignment horizontal="center" vertical="center" wrapText="1"/>
    </xf>
    <xf numFmtId="0" fontId="26" fillId="2" borderId="7" xfId="0" applyNumberFormat="1" applyFont="1" applyFill="1" applyBorder="1" applyAlignment="1" applyProtection="1">
      <alignment horizontal="center" vertical="center" wrapText="1"/>
    </xf>
    <xf numFmtId="0" fontId="26" fillId="2" borderId="9" xfId="0" applyNumberFormat="1" applyFont="1" applyFill="1" applyBorder="1" applyAlignment="1" applyProtection="1">
      <alignment horizontal="center" vertical="center" wrapText="1"/>
    </xf>
    <xf numFmtId="0" fontId="26" fillId="2" borderId="10" xfId="0" applyNumberFormat="1" applyFont="1" applyFill="1" applyBorder="1" applyAlignment="1" applyProtection="1">
      <alignment horizontal="center" vertical="center" wrapText="1"/>
    </xf>
    <xf numFmtId="0" fontId="27" fillId="3" borderId="6" xfId="0" applyFont="1" applyFill="1" applyBorder="1" applyAlignment="1" applyProtection="1">
      <alignment horizontal="center" vertical="center" wrapText="1"/>
      <protection locked="0"/>
    </xf>
    <xf numFmtId="0" fontId="27" fillId="3" borderId="7" xfId="0" applyFont="1" applyFill="1" applyBorder="1" applyAlignment="1" applyProtection="1">
      <alignment horizontal="center" vertical="center" wrapText="1"/>
      <protection locked="0"/>
    </xf>
    <xf numFmtId="0" fontId="26" fillId="2" borderId="6" xfId="0" applyNumberFormat="1" applyFont="1" applyFill="1" applyBorder="1" applyAlignment="1">
      <alignment horizontal="center" vertical="center" wrapText="1"/>
    </xf>
    <xf numFmtId="0" fontId="26" fillId="2" borderId="6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0" fontId="26" fillId="2" borderId="7" xfId="0" applyNumberFormat="1" applyFont="1" applyFill="1" applyBorder="1" applyAlignment="1">
      <alignment horizontal="center" vertical="center" wrapText="1"/>
    </xf>
    <xf numFmtId="0" fontId="26" fillId="2" borderId="3" xfId="0" applyNumberFormat="1" applyFont="1" applyFill="1" applyBorder="1" applyAlignment="1">
      <alignment horizontal="center" vertical="center" wrapText="1"/>
    </xf>
    <xf numFmtId="0" fontId="26" fillId="2" borderId="9" xfId="0" applyFont="1" applyFill="1" applyBorder="1" applyAlignment="1">
      <alignment horizontal="center" wrapText="1"/>
    </xf>
    <xf numFmtId="0" fontId="26" fillId="2" borderId="10" xfId="0" applyNumberFormat="1" applyFont="1" applyFill="1" applyBorder="1" applyAlignment="1">
      <alignment horizontal="center" vertical="center" wrapText="1"/>
    </xf>
    <xf numFmtId="0" fontId="26" fillId="2" borderId="6" xfId="0" applyNumberFormat="1" applyFont="1" applyFill="1" applyBorder="1" applyAlignment="1" applyProtection="1">
      <alignment horizontal="center"/>
    </xf>
    <xf numFmtId="0" fontId="26" fillId="2" borderId="7" xfId="0" applyNumberFormat="1" applyFont="1" applyFill="1" applyBorder="1" applyAlignment="1" applyProtection="1">
      <alignment horizontal="center"/>
    </xf>
    <xf numFmtId="0" fontId="26" fillId="2" borderId="9" xfId="0" applyNumberFormat="1" applyFont="1" applyFill="1" applyBorder="1" applyAlignment="1" applyProtection="1">
      <alignment horizontal="center"/>
    </xf>
    <xf numFmtId="0" fontId="26" fillId="2" borderId="10" xfId="0" applyNumberFormat="1" applyFont="1" applyFill="1" applyBorder="1" applyAlignment="1" applyProtection="1">
      <alignment horizontal="center"/>
    </xf>
    <xf numFmtId="0" fontId="28" fillId="3" borderId="6" xfId="0" applyFont="1" applyFill="1" applyBorder="1" applyAlignment="1" applyProtection="1">
      <alignment horizontal="center" wrapText="1"/>
      <protection locked="0"/>
    </xf>
    <xf numFmtId="0" fontId="28" fillId="3" borderId="6" xfId="0" applyNumberFormat="1" applyFont="1" applyFill="1" applyBorder="1" applyAlignment="1" applyProtection="1">
      <alignment horizontal="center" wrapText="1"/>
      <protection locked="0"/>
    </xf>
    <xf numFmtId="11" fontId="28" fillId="3" borderId="6" xfId="0" applyNumberFormat="1" applyFont="1" applyFill="1" applyBorder="1" applyAlignment="1" applyProtection="1">
      <alignment horizontal="center" wrapText="1"/>
      <protection locked="0"/>
    </xf>
    <xf numFmtId="0" fontId="28" fillId="3" borderId="7" xfId="0" applyNumberFormat="1" applyFont="1" applyFill="1" applyBorder="1" applyAlignment="1" applyProtection="1">
      <alignment horizontal="center" wrapText="1"/>
      <protection locked="0"/>
    </xf>
    <xf numFmtId="0" fontId="26" fillId="2" borderId="6" xfId="0" applyNumberFormat="1" applyFont="1" applyFill="1" applyBorder="1" applyAlignment="1" applyProtection="1">
      <alignment horizontal="center" wrapText="1"/>
    </xf>
    <xf numFmtId="0" fontId="26" fillId="2" borderId="7" xfId="0" applyNumberFormat="1" applyFont="1" applyFill="1" applyBorder="1" applyAlignment="1" applyProtection="1">
      <alignment horizontal="center" wrapText="1"/>
    </xf>
    <xf numFmtId="0" fontId="26" fillId="2" borderId="9" xfId="0" applyNumberFormat="1" applyFont="1" applyFill="1" applyBorder="1" applyAlignment="1" applyProtection="1">
      <alignment horizontal="center" wrapText="1"/>
    </xf>
    <xf numFmtId="0" fontId="26" fillId="2" borderId="10" xfId="0" applyNumberFormat="1" applyFont="1" applyFill="1" applyBorder="1" applyAlignment="1" applyProtection="1">
      <alignment horizontal="center" wrapText="1"/>
    </xf>
    <xf numFmtId="0" fontId="29" fillId="2" borderId="6" xfId="0" applyNumberFormat="1" applyFont="1" applyFill="1" applyBorder="1" applyAlignment="1" applyProtection="1">
      <alignment horizontal="center" wrapText="1"/>
    </xf>
    <xf numFmtId="0" fontId="29" fillId="2" borderId="7" xfId="0" applyNumberFormat="1" applyFont="1" applyFill="1" applyBorder="1" applyAlignment="1" applyProtection="1">
      <alignment horizontal="center" wrapText="1"/>
    </xf>
    <xf numFmtId="0" fontId="29" fillId="2" borderId="9" xfId="0" applyNumberFormat="1" applyFont="1" applyFill="1" applyBorder="1" applyAlignment="1" applyProtection="1">
      <alignment horizontal="center" wrapText="1"/>
    </xf>
    <xf numFmtId="0" fontId="29" fillId="2" borderId="10" xfId="0" applyNumberFormat="1" applyFont="1" applyFill="1" applyBorder="1" applyAlignment="1" applyProtection="1">
      <alignment horizontal="center" wrapText="1"/>
    </xf>
    <xf numFmtId="0" fontId="29" fillId="2" borderId="3" xfId="0" applyNumberFormat="1" applyFont="1" applyFill="1" applyBorder="1" applyAlignment="1" applyProtection="1">
      <alignment horizontal="center" wrapText="1"/>
    </xf>
    <xf numFmtId="0" fontId="29" fillId="2" borderId="4" xfId="0" applyNumberFormat="1" applyFont="1" applyFill="1" applyBorder="1" applyAlignment="1" applyProtection="1">
      <alignment horizontal="center" wrapText="1"/>
    </xf>
    <xf numFmtId="0" fontId="29" fillId="2" borderId="13" xfId="0" applyNumberFormat="1" applyFont="1" applyFill="1" applyBorder="1" applyAlignment="1" applyProtection="1">
      <alignment horizontal="center" wrapText="1"/>
    </xf>
    <xf numFmtId="0" fontId="31" fillId="2" borderId="0" xfId="0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 wrapText="1"/>
    </xf>
    <xf numFmtId="0" fontId="21" fillId="2" borderId="19" xfId="0" applyFont="1" applyFill="1" applyBorder="1" applyAlignment="1">
      <alignment horizontal="center"/>
    </xf>
    <xf numFmtId="0" fontId="17" fillId="2" borderId="20" xfId="0" applyFont="1" applyFill="1" applyBorder="1"/>
    <xf numFmtId="0" fontId="21" fillId="2" borderId="21" xfId="0" applyFont="1" applyFill="1" applyBorder="1" applyAlignment="1">
      <alignment horizontal="center"/>
    </xf>
    <xf numFmtId="0" fontId="3" fillId="0" borderId="0" xfId="1" applyAlignment="1" applyProtection="1">
      <alignment horizontal="left" vertical="center"/>
    </xf>
    <xf numFmtId="0" fontId="3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33" fillId="2" borderId="0" xfId="0" applyFont="1" applyFill="1" applyAlignment="1" applyProtection="1">
      <alignment horizontal="center" vertical="top"/>
    </xf>
    <xf numFmtId="0" fontId="34" fillId="2" borderId="5" xfId="0" applyFont="1" applyFill="1" applyBorder="1" applyAlignment="1">
      <alignment horizontal="center"/>
    </xf>
    <xf numFmtId="0" fontId="34" fillId="2" borderId="8" xfId="0" applyFont="1" applyFill="1" applyBorder="1" applyAlignment="1">
      <alignment horizontal="center"/>
    </xf>
    <xf numFmtId="0" fontId="34" fillId="2" borderId="3" xfId="0" applyFont="1" applyFill="1" applyBorder="1" applyAlignment="1">
      <alignment horizontal="center"/>
    </xf>
    <xf numFmtId="0" fontId="34" fillId="2" borderId="4" xfId="0" applyFont="1" applyFill="1" applyBorder="1" applyAlignment="1">
      <alignment horizontal="center"/>
    </xf>
    <xf numFmtId="0" fontId="36" fillId="2" borderId="11" xfId="0" applyFont="1" applyFill="1" applyBorder="1" applyAlignment="1">
      <alignment horizontal="center" wrapText="1"/>
    </xf>
    <xf numFmtId="0" fontId="36" fillId="2" borderId="3" xfId="0" applyFont="1" applyFill="1" applyBorder="1" applyAlignment="1">
      <alignment horizontal="center" wrapText="1"/>
    </xf>
    <xf numFmtId="0" fontId="36" fillId="2" borderId="4" xfId="0" applyFont="1" applyFill="1" applyBorder="1" applyAlignment="1">
      <alignment horizontal="center" wrapText="1"/>
    </xf>
    <xf numFmtId="0" fontId="35" fillId="2" borderId="0" xfId="0" applyFont="1" applyFill="1" applyAlignment="1">
      <alignment horizontal="center"/>
    </xf>
    <xf numFmtId="0" fontId="36" fillId="2" borderId="2" xfId="0" applyFont="1" applyFill="1" applyBorder="1" applyAlignment="1">
      <alignment horizontal="center" wrapText="1"/>
    </xf>
    <xf numFmtId="0" fontId="36" fillId="2" borderId="5" xfId="0" applyFont="1" applyFill="1" applyBorder="1" applyAlignment="1">
      <alignment horizontal="center" wrapText="1"/>
    </xf>
    <xf numFmtId="0" fontId="36" fillId="2" borderId="8" xfId="0" applyFont="1" applyFill="1" applyBorder="1" applyAlignment="1">
      <alignment horizontal="center" wrapText="1"/>
    </xf>
    <xf numFmtId="0" fontId="36" fillId="2" borderId="3" xfId="0" applyFont="1" applyFill="1" applyBorder="1" applyAlignment="1" applyProtection="1">
      <alignment horizontal="center" vertical="center" wrapText="1"/>
    </xf>
    <xf numFmtId="0" fontId="36" fillId="2" borderId="4" xfId="0" applyFont="1" applyFill="1" applyBorder="1" applyAlignment="1" applyProtection="1">
      <alignment horizontal="center" vertical="center" wrapText="1"/>
    </xf>
    <xf numFmtId="0" fontId="36" fillId="2" borderId="11" xfId="0" applyFont="1" applyFill="1" applyBorder="1" applyAlignment="1" applyProtection="1">
      <alignment horizontal="center" vertical="center" wrapText="1"/>
    </xf>
    <xf numFmtId="0" fontId="36" fillId="2" borderId="2" xfId="0" applyFont="1" applyFill="1" applyBorder="1" applyAlignment="1" applyProtection="1">
      <alignment horizontal="center" vertical="center" wrapText="1"/>
    </xf>
    <xf numFmtId="0" fontId="38" fillId="2" borderId="11" xfId="0" applyFont="1" applyFill="1" applyBorder="1" applyAlignment="1" applyProtection="1">
      <alignment horizontal="center" vertical="center" wrapText="1"/>
    </xf>
    <xf numFmtId="0" fontId="38" fillId="2" borderId="3" xfId="0" applyFont="1" applyFill="1" applyBorder="1" applyAlignment="1" applyProtection="1">
      <alignment horizontal="center" vertical="center" wrapText="1"/>
    </xf>
    <xf numFmtId="0" fontId="38" fillId="2" borderId="4" xfId="0" applyFont="1" applyFill="1" applyBorder="1" applyAlignment="1" applyProtection="1">
      <alignment horizontal="center" vertical="center" wrapText="1"/>
    </xf>
    <xf numFmtId="0" fontId="36" fillId="2" borderId="5" xfId="0" applyFont="1" applyFill="1" applyBorder="1" applyAlignment="1" applyProtection="1">
      <alignment horizontal="center" vertical="center" wrapText="1"/>
    </xf>
    <xf numFmtId="0" fontId="36" fillId="2" borderId="8" xfId="0" applyFont="1" applyFill="1" applyBorder="1" applyAlignment="1" applyProtection="1">
      <alignment horizontal="center" vertical="center" wrapText="1"/>
    </xf>
    <xf numFmtId="0" fontId="38" fillId="2" borderId="0" xfId="0" applyFont="1" applyFill="1" applyAlignment="1">
      <alignment horizontal="center" vertical="center"/>
    </xf>
    <xf numFmtId="0" fontId="38" fillId="2" borderId="4" xfId="0" applyFont="1" applyFill="1" applyBorder="1" applyAlignment="1">
      <alignment horizontal="center" vertical="center"/>
    </xf>
    <xf numFmtId="0" fontId="38" fillId="2" borderId="22" xfId="0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horizontal="center"/>
    </xf>
    <xf numFmtId="0" fontId="38" fillId="2" borderId="22" xfId="0" applyFont="1" applyFill="1" applyBorder="1" applyAlignment="1">
      <alignment horizontal="center"/>
    </xf>
    <xf numFmtId="0" fontId="38" fillId="2" borderId="11" xfId="0" applyFont="1" applyFill="1" applyBorder="1" applyAlignment="1">
      <alignment horizontal="center" vertical="center" wrapText="1"/>
    </xf>
    <xf numFmtId="0" fontId="38" fillId="2" borderId="3" xfId="0" applyFont="1" applyFill="1" applyBorder="1" applyAlignment="1">
      <alignment horizontal="center" vertical="center" wrapText="1"/>
    </xf>
    <xf numFmtId="0" fontId="38" fillId="2" borderId="4" xfId="0" applyFont="1" applyFill="1" applyBorder="1" applyAlignment="1">
      <alignment horizontal="center" vertical="center" wrapText="1"/>
    </xf>
    <xf numFmtId="0" fontId="38" fillId="2" borderId="0" xfId="0" applyFont="1" applyFill="1" applyAlignment="1">
      <alignment horizontal="center" wrapText="1"/>
    </xf>
    <xf numFmtId="0" fontId="36" fillId="2" borderId="11" xfId="0" applyFont="1" applyFill="1" applyBorder="1" applyAlignment="1">
      <alignment horizontal="center" vertical="center" wrapText="1"/>
    </xf>
    <xf numFmtId="0" fontId="36" fillId="2" borderId="0" xfId="0" applyFont="1" applyFill="1" applyAlignment="1">
      <alignment horizontal="center" vertical="center"/>
    </xf>
    <xf numFmtId="0" fontId="36" fillId="2" borderId="2" xfId="0" applyFont="1" applyFill="1" applyBorder="1" applyAlignment="1">
      <alignment horizontal="center" vertical="center" wrapText="1"/>
    </xf>
    <xf numFmtId="0" fontId="36" fillId="2" borderId="5" xfId="0" applyFont="1" applyFill="1" applyBorder="1" applyAlignment="1">
      <alignment horizontal="center" vertical="center" wrapText="1"/>
    </xf>
    <xf numFmtId="0" fontId="36" fillId="2" borderId="0" xfId="0" applyFont="1" applyFill="1" applyAlignment="1">
      <alignment horizontal="center"/>
    </xf>
    <xf numFmtId="0" fontId="36" fillId="2" borderId="0" xfId="0" applyFont="1" applyFill="1" applyAlignment="1" applyProtection="1">
      <alignment horizontal="center"/>
    </xf>
    <xf numFmtId="0" fontId="36" fillId="2" borderId="4" xfId="0" applyFont="1" applyFill="1" applyBorder="1" applyAlignment="1" applyProtection="1">
      <alignment horizontal="center"/>
    </xf>
    <xf numFmtId="0" fontId="36" fillId="2" borderId="22" xfId="0" applyFont="1" applyFill="1" applyBorder="1" applyAlignment="1" applyProtection="1">
      <alignment horizontal="center"/>
    </xf>
    <xf numFmtId="0" fontId="36" fillId="2" borderId="3" xfId="0" applyFont="1" applyFill="1" applyBorder="1" applyAlignment="1" applyProtection="1">
      <alignment horizontal="center"/>
    </xf>
    <xf numFmtId="0" fontId="36" fillId="2" borderId="4" xfId="0" applyFont="1" applyFill="1" applyBorder="1" applyAlignment="1" applyProtection="1">
      <alignment horizontal="center"/>
    </xf>
    <xf numFmtId="0" fontId="36" fillId="2" borderId="11" xfId="0" applyFont="1" applyFill="1" applyBorder="1" applyAlignment="1" applyProtection="1">
      <alignment horizontal="center"/>
    </xf>
    <xf numFmtId="0" fontId="36" fillId="2" borderId="2" xfId="0" applyFont="1" applyFill="1" applyBorder="1" applyAlignment="1" applyProtection="1">
      <alignment horizontal="center"/>
    </xf>
    <xf numFmtId="0" fontId="36" fillId="2" borderId="11" xfId="0" applyFont="1" applyFill="1" applyBorder="1" applyAlignment="1" applyProtection="1">
      <alignment horizontal="center" wrapText="1"/>
    </xf>
    <xf numFmtId="0" fontId="36" fillId="2" borderId="12" xfId="0" applyFont="1" applyFill="1" applyBorder="1" applyAlignment="1" applyProtection="1">
      <alignment horizontal="center" wrapText="1"/>
    </xf>
    <xf numFmtId="0" fontId="36" fillId="2" borderId="13" xfId="0" applyFont="1" applyFill="1" applyBorder="1" applyAlignment="1" applyProtection="1">
      <alignment horizontal="center" wrapText="1"/>
    </xf>
    <xf numFmtId="0" fontId="40" fillId="2" borderId="2" xfId="0" applyFont="1" applyFill="1" applyBorder="1" applyAlignment="1" applyProtection="1">
      <alignment horizontal="center" wrapText="1"/>
    </xf>
    <xf numFmtId="0" fontId="36" fillId="2" borderId="5" xfId="0" applyFont="1" applyFill="1" applyBorder="1" applyAlignment="1" applyProtection="1">
      <alignment horizontal="center" wrapText="1"/>
    </xf>
    <xf numFmtId="0" fontId="36" fillId="2" borderId="8" xfId="0" applyFont="1" applyFill="1" applyBorder="1" applyAlignment="1" applyProtection="1">
      <alignment horizontal="center" wrapText="1"/>
    </xf>
    <xf numFmtId="0" fontId="36" fillId="2" borderId="2" xfId="0" applyFont="1" applyFill="1" applyBorder="1" applyAlignment="1" applyProtection="1">
      <alignment horizontal="center" wrapText="1"/>
    </xf>
    <xf numFmtId="0" fontId="36" fillId="2" borderId="3" xfId="0" applyFont="1" applyFill="1" applyBorder="1" applyAlignment="1" applyProtection="1">
      <alignment horizontal="center" wrapText="1"/>
    </xf>
    <xf numFmtId="0" fontId="36" fillId="2" borderId="4" xfId="0" applyFont="1" applyFill="1" applyBorder="1" applyAlignment="1" applyProtection="1">
      <alignment horizontal="center" wrapText="1"/>
    </xf>
    <xf numFmtId="0" fontId="36" fillId="2" borderId="3" xfId="0" applyNumberFormat="1" applyFont="1" applyFill="1" applyBorder="1" applyAlignment="1" applyProtection="1">
      <alignment horizontal="center" wrapText="1"/>
    </xf>
    <xf numFmtId="0" fontId="36" fillId="2" borderId="4" xfId="0" applyNumberFormat="1" applyFont="1" applyFill="1" applyBorder="1" applyAlignment="1" applyProtection="1">
      <alignment horizontal="center" wrapText="1"/>
    </xf>
    <xf numFmtId="0" fontId="36" fillId="2" borderId="11" xfId="0" applyNumberFormat="1" applyFont="1" applyFill="1" applyBorder="1" applyAlignment="1" applyProtection="1">
      <alignment horizontal="center" wrapText="1"/>
    </xf>
    <xf numFmtId="0" fontId="36" fillId="2" borderId="2" xfId="0" applyNumberFormat="1" applyFont="1" applyFill="1" applyBorder="1" applyAlignment="1" applyProtection="1">
      <alignment horizontal="center" wrapText="1"/>
    </xf>
    <xf numFmtId="0" fontId="36" fillId="2" borderId="5" xfId="0" applyNumberFormat="1" applyFont="1" applyFill="1" applyBorder="1" applyAlignment="1" applyProtection="1">
      <alignment horizontal="center" wrapText="1"/>
    </xf>
    <xf numFmtId="0" fontId="33" fillId="2" borderId="0" xfId="0" applyNumberFormat="1" applyFont="1" applyFill="1" applyBorder="1" applyAlignment="1" applyProtection="1">
      <alignment horizontal="center" wrapText="1"/>
    </xf>
    <xf numFmtId="0" fontId="42" fillId="2" borderId="2" xfId="0" applyFont="1" applyFill="1" applyBorder="1" applyAlignment="1">
      <alignment horizontal="center"/>
    </xf>
    <xf numFmtId="0" fontId="42" fillId="2" borderId="3" xfId="0" applyFont="1" applyFill="1" applyBorder="1" applyAlignment="1">
      <alignment horizontal="center"/>
    </xf>
    <xf numFmtId="1" fontId="42" fillId="2" borderId="3" xfId="0" applyNumberFormat="1" applyFont="1" applyFill="1" applyBorder="1" applyAlignment="1">
      <alignment horizontal="center"/>
    </xf>
    <xf numFmtId="0" fontId="42" fillId="2" borderId="4" xfId="0" applyFont="1" applyFill="1" applyBorder="1" applyAlignment="1">
      <alignment horizontal="center"/>
    </xf>
    <xf numFmtId="0" fontId="42" fillId="2" borderId="5" xfId="0" applyFont="1" applyFill="1" applyBorder="1" applyAlignment="1">
      <alignment horizontal="center"/>
    </xf>
    <xf numFmtId="0" fontId="42" fillId="2" borderId="6" xfId="0" applyFont="1" applyFill="1" applyBorder="1" applyAlignment="1">
      <alignment horizontal="center"/>
    </xf>
    <xf numFmtId="1" fontId="42" fillId="2" borderId="6" xfId="0" applyNumberFormat="1" applyFont="1" applyFill="1" applyBorder="1" applyAlignment="1">
      <alignment horizontal="center"/>
    </xf>
    <xf numFmtId="0" fontId="42" fillId="2" borderId="7" xfId="0" applyFont="1" applyFill="1" applyBorder="1" applyAlignment="1">
      <alignment horizontal="center" vertical="top" wrapText="1"/>
    </xf>
    <xf numFmtId="165" fontId="42" fillId="2" borderId="6" xfId="0" applyNumberFormat="1" applyFont="1" applyFill="1" applyBorder="1" applyAlignment="1">
      <alignment horizontal="center"/>
    </xf>
    <xf numFmtId="2" fontId="42" fillId="2" borderId="6" xfId="0" applyNumberFormat="1" applyFont="1" applyFill="1" applyBorder="1" applyAlignment="1">
      <alignment horizontal="center"/>
    </xf>
    <xf numFmtId="166" fontId="42" fillId="2" borderId="6" xfId="0" applyNumberFormat="1" applyFont="1" applyFill="1" applyBorder="1" applyAlignment="1">
      <alignment horizontal="center"/>
    </xf>
    <xf numFmtId="0" fontId="44" fillId="2" borderId="6" xfId="0" applyFont="1" applyFill="1" applyBorder="1" applyAlignment="1">
      <alignment horizontal="center"/>
    </xf>
    <xf numFmtId="164" fontId="42" fillId="2" borderId="6" xfId="0" applyNumberFormat="1" applyFont="1" applyFill="1" applyBorder="1" applyAlignment="1">
      <alignment horizontal="center"/>
    </xf>
    <xf numFmtId="167" fontId="42" fillId="2" borderId="6" xfId="0" applyNumberFormat="1" applyFont="1" applyFill="1" applyBorder="1" applyAlignment="1">
      <alignment horizontal="center"/>
    </xf>
    <xf numFmtId="168" fontId="42" fillId="2" borderId="6" xfId="0" applyNumberFormat="1" applyFont="1" applyFill="1" applyBorder="1" applyAlignment="1">
      <alignment horizontal="center"/>
    </xf>
    <xf numFmtId="169" fontId="42" fillId="2" borderId="6" xfId="0" applyNumberFormat="1" applyFont="1" applyFill="1" applyBorder="1" applyAlignment="1">
      <alignment horizontal="center"/>
    </xf>
    <xf numFmtId="0" fontId="42" fillId="2" borderId="8" xfId="0" applyFont="1" applyFill="1" applyBorder="1" applyAlignment="1">
      <alignment horizontal="center"/>
    </xf>
    <xf numFmtId="0" fontId="42" fillId="2" borderId="9" xfId="0" applyFont="1" applyFill="1" applyBorder="1" applyAlignment="1">
      <alignment horizontal="center"/>
    </xf>
    <xf numFmtId="170" fontId="42" fillId="2" borderId="9" xfId="0" applyNumberFormat="1" applyFont="1" applyFill="1" applyBorder="1" applyAlignment="1">
      <alignment horizontal="center"/>
    </xf>
    <xf numFmtId="0" fontId="42" fillId="2" borderId="10" xfId="0" applyFont="1" applyFill="1" applyBorder="1" applyAlignment="1">
      <alignment horizontal="center" vertical="top" wrapText="1"/>
    </xf>
    <xf numFmtId="0" fontId="44" fillId="2" borderId="5" xfId="0" applyFont="1" applyFill="1" applyBorder="1" applyAlignment="1">
      <alignment horizontal="center" vertical="center" wrapText="1"/>
    </xf>
    <xf numFmtId="171" fontId="42" fillId="2" borderId="6" xfId="0" applyNumberFormat="1" applyFont="1" applyFill="1" applyBorder="1" applyAlignment="1">
      <alignment horizontal="center" vertical="center" wrapText="1"/>
    </xf>
    <xf numFmtId="0" fontId="42" fillId="2" borderId="6" xfId="0" applyFont="1" applyFill="1" applyBorder="1" applyAlignment="1">
      <alignment horizontal="center" vertical="center" wrapText="1"/>
    </xf>
    <xf numFmtId="0" fontId="42" fillId="2" borderId="7" xfId="0" applyFont="1" applyFill="1" applyBorder="1" applyAlignment="1">
      <alignment horizontal="center" vertical="center" wrapText="1"/>
    </xf>
    <xf numFmtId="0" fontId="42" fillId="2" borderId="5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6" fillId="2" borderId="5" xfId="0" applyFont="1" applyFill="1" applyBorder="1" applyAlignment="1">
      <alignment horizontal="center" vertical="center" wrapText="1"/>
    </xf>
    <xf numFmtId="0" fontId="42" fillId="2" borderId="6" xfId="0" applyNumberFormat="1" applyFont="1" applyFill="1" applyBorder="1" applyAlignment="1">
      <alignment horizontal="center" vertical="center" wrapText="1"/>
    </xf>
    <xf numFmtId="16" fontId="42" fillId="2" borderId="5" xfId="0" applyNumberFormat="1" applyFont="1" applyFill="1" applyBorder="1" applyAlignment="1">
      <alignment horizontal="center" vertical="center" wrapText="1"/>
    </xf>
    <xf numFmtId="0" fontId="46" fillId="2" borderId="6" xfId="0" applyFont="1" applyFill="1" applyBorder="1" applyAlignment="1">
      <alignment horizontal="center" vertical="center" wrapText="1"/>
    </xf>
    <xf numFmtId="0" fontId="46" fillId="2" borderId="0" xfId="0" applyFont="1" applyFill="1" applyAlignment="1">
      <alignment horizontal="center" vertical="center" wrapText="1"/>
    </xf>
    <xf numFmtId="0" fontId="42" fillId="2" borderId="8" xfId="0" applyFont="1" applyFill="1" applyBorder="1" applyAlignment="1">
      <alignment horizontal="center" vertical="center" wrapText="1"/>
    </xf>
    <xf numFmtId="0" fontId="42" fillId="2" borderId="9" xfId="0" applyFont="1" applyFill="1" applyBorder="1" applyAlignment="1">
      <alignment horizontal="center" vertical="center" wrapText="1"/>
    </xf>
    <xf numFmtId="0" fontId="42" fillId="2" borderId="0" xfId="0" applyFont="1" applyFill="1" applyBorder="1" applyAlignment="1">
      <alignment horizontal="center" vertical="center" wrapText="1"/>
    </xf>
    <xf numFmtId="0" fontId="42" fillId="2" borderId="11" xfId="0" applyFont="1" applyFill="1" applyBorder="1" applyAlignment="1">
      <alignment horizontal="center" vertical="center" wrapText="1"/>
    </xf>
    <xf numFmtId="0" fontId="44" fillId="2" borderId="9" xfId="0" applyFont="1" applyFill="1" applyBorder="1" applyAlignment="1">
      <alignment horizontal="center" vertical="center" wrapText="1"/>
    </xf>
    <xf numFmtId="0" fontId="42" fillId="2" borderId="10" xfId="0" applyFont="1" applyFill="1" applyBorder="1" applyAlignment="1">
      <alignment horizontal="center" vertical="center" wrapText="1"/>
    </xf>
    <xf numFmtId="0" fontId="48" fillId="2" borderId="0" xfId="0" applyFont="1" applyFill="1" applyAlignment="1">
      <alignment horizontal="left" vertical="top" wrapText="1"/>
    </xf>
    <xf numFmtId="0" fontId="48" fillId="2" borderId="0" xfId="0" applyFont="1" applyFill="1" applyAlignment="1">
      <alignment horizontal="left" vertical="top" wrapText="1"/>
    </xf>
    <xf numFmtId="0" fontId="48" fillId="2" borderId="0" xfId="0" applyFont="1" applyFill="1" applyAlignment="1">
      <alignment horizontal="center" vertical="top" wrapText="1"/>
    </xf>
    <xf numFmtId="0" fontId="48" fillId="2" borderId="0" xfId="0" applyFont="1" applyFill="1" applyAlignment="1">
      <alignment horizontal="center" vertical="center" wrapText="1"/>
    </xf>
    <xf numFmtId="0" fontId="49" fillId="2" borderId="2" xfId="0" applyFont="1" applyFill="1" applyBorder="1" applyAlignment="1">
      <alignment horizontal="center" vertical="center" wrapText="1"/>
    </xf>
    <xf numFmtId="0" fontId="49" fillId="2" borderId="4" xfId="0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 wrapText="1"/>
    </xf>
    <xf numFmtId="0" fontId="41" fillId="2" borderId="3" xfId="0" applyFont="1" applyFill="1" applyBorder="1" applyAlignment="1">
      <alignment horizontal="center" vertical="center" wrapText="1"/>
    </xf>
    <xf numFmtId="0" fontId="41" fillId="2" borderId="4" xfId="0" applyFont="1" applyFill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center" vertical="center" wrapText="1"/>
    </xf>
    <xf numFmtId="0" fontId="50" fillId="2" borderId="3" xfId="0" applyFont="1" applyFill="1" applyBorder="1" applyAlignment="1">
      <alignment horizontal="center" vertical="center" wrapText="1"/>
    </xf>
    <xf numFmtId="0" fontId="50" fillId="2" borderId="3" xfId="0" applyFont="1" applyFill="1" applyBorder="1" applyAlignment="1">
      <alignment horizontal="center" vertical="center" wrapText="1"/>
    </xf>
    <xf numFmtId="0" fontId="50" fillId="2" borderId="4" xfId="0" applyFont="1" applyFill="1" applyBorder="1" applyAlignment="1">
      <alignment horizontal="center" vertical="center" wrapText="1"/>
    </xf>
    <xf numFmtId="0" fontId="51" fillId="2" borderId="5" xfId="0" applyFont="1" applyFill="1" applyBorder="1" applyAlignment="1">
      <alignment horizontal="center" vertical="center" wrapText="1"/>
    </xf>
    <xf numFmtId="0" fontId="51" fillId="2" borderId="6" xfId="0" applyFont="1" applyFill="1" applyBorder="1" applyAlignment="1">
      <alignment horizontal="center" vertical="center" wrapText="1"/>
    </xf>
    <xf numFmtId="0" fontId="51" fillId="2" borderId="7" xfId="0" applyFont="1" applyFill="1" applyBorder="1" applyAlignment="1">
      <alignment horizontal="center" vertical="center" wrapText="1"/>
    </xf>
    <xf numFmtId="0" fontId="52" fillId="2" borderId="5" xfId="0" applyFont="1" applyFill="1" applyBorder="1" applyAlignment="1">
      <alignment horizontal="center" vertical="center" wrapText="1"/>
    </xf>
    <xf numFmtId="0" fontId="52" fillId="2" borderId="6" xfId="0" applyFont="1" applyFill="1" applyBorder="1" applyAlignment="1">
      <alignment horizontal="center" vertical="center" wrapText="1"/>
    </xf>
    <xf numFmtId="0" fontId="52" fillId="2" borderId="7" xfId="0" applyFont="1" applyFill="1" applyBorder="1" applyAlignment="1">
      <alignment horizontal="center" vertical="center" wrapText="1"/>
    </xf>
    <xf numFmtId="16" fontId="52" fillId="2" borderId="6" xfId="0" applyNumberFormat="1" applyFont="1" applyFill="1" applyBorder="1" applyAlignment="1">
      <alignment horizontal="center" vertical="center" wrapText="1"/>
    </xf>
    <xf numFmtId="0" fontId="52" fillId="2" borderId="9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center" wrapText="1"/>
    </xf>
    <xf numFmtId="0" fontId="52" fillId="2" borderId="3" xfId="0" applyFont="1" applyFill="1" applyBorder="1" applyAlignment="1">
      <alignment horizontal="center" vertical="center" wrapText="1"/>
    </xf>
    <xf numFmtId="0" fontId="52" fillId="2" borderId="4" xfId="0" applyFont="1" applyFill="1" applyBorder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2" fillId="2" borderId="9" xfId="0" applyFont="1" applyFill="1" applyBorder="1" applyAlignment="1">
      <alignment horizontal="center" vertical="center" wrapText="1"/>
    </xf>
    <xf numFmtId="0" fontId="52" fillId="2" borderId="12" xfId="0" applyFont="1" applyFill="1" applyBorder="1" applyAlignment="1">
      <alignment horizontal="center" vertical="center" wrapText="1"/>
    </xf>
    <xf numFmtId="0" fontId="52" fillId="2" borderId="13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center" wrapText="1"/>
    </xf>
    <xf numFmtId="0" fontId="48" fillId="2" borderId="0" xfId="0" applyFont="1" applyFill="1" applyAlignment="1">
      <alignment horizontal="center" vertical="center" wrapText="1"/>
    </xf>
    <xf numFmtId="0" fontId="49" fillId="2" borderId="0" xfId="0" applyFont="1" applyFill="1" applyAlignment="1">
      <alignment horizontal="center" vertical="center" wrapText="1"/>
    </xf>
    <xf numFmtId="0" fontId="50" fillId="2" borderId="4" xfId="0" applyFont="1" applyFill="1" applyBorder="1" applyAlignment="1">
      <alignment horizontal="center" vertical="center" wrapText="1"/>
    </xf>
    <xf numFmtId="0" fontId="50" fillId="2" borderId="5" xfId="0" applyFont="1" applyFill="1" applyBorder="1" applyAlignment="1">
      <alignment horizontal="center" vertical="center" wrapText="1"/>
    </xf>
    <xf numFmtId="0" fontId="50" fillId="2" borderId="6" xfId="0" applyFont="1" applyFill="1" applyBorder="1" applyAlignment="1">
      <alignment horizontal="center" vertical="center" wrapText="1"/>
    </xf>
    <xf numFmtId="0" fontId="42" fillId="2" borderId="0" xfId="0" applyFont="1" applyFill="1" applyAlignment="1">
      <alignment horizontal="center" vertical="center" wrapText="1"/>
    </xf>
    <xf numFmtId="0" fontId="50" fillId="2" borderId="4" xfId="0" applyFont="1" applyFill="1" applyBorder="1" applyAlignment="1">
      <alignment horizontal="left" vertical="center" wrapText="1"/>
    </xf>
    <xf numFmtId="0" fontId="42" fillId="2" borderId="7" xfId="0" applyFont="1" applyFill="1" applyBorder="1" applyAlignment="1">
      <alignment horizontal="left" vertical="center" wrapText="1"/>
    </xf>
    <xf numFmtId="0" fontId="42" fillId="2" borderId="10" xfId="0" applyFont="1" applyFill="1" applyBorder="1" applyAlignment="1">
      <alignment horizontal="left" vertical="center" wrapText="1"/>
    </xf>
    <xf numFmtId="0" fontId="42" fillId="2" borderId="13" xfId="0" applyFont="1" applyFill="1" applyBorder="1" applyAlignment="1">
      <alignment horizontal="left" vertical="center" wrapText="1"/>
    </xf>
    <xf numFmtId="0" fontId="42" fillId="2" borderId="4" xfId="0" applyFont="1" applyFill="1" applyBorder="1" applyAlignment="1">
      <alignment horizontal="left" vertical="center" wrapText="1"/>
    </xf>
    <xf numFmtId="0" fontId="42" fillId="2" borderId="0" xfId="0" applyFont="1" applyFill="1" applyAlignment="1">
      <alignment horizontal="left" vertical="center" wrapText="1"/>
    </xf>
    <xf numFmtId="0" fontId="42" fillId="2" borderId="8" xfId="0" applyFont="1" applyFill="1" applyBorder="1" applyAlignment="1">
      <alignment horizontal="center" vertical="center" wrapText="1"/>
    </xf>
    <xf numFmtId="0" fontId="42" fillId="2" borderId="11" xfId="0" applyFont="1" applyFill="1" applyBorder="1" applyAlignment="1">
      <alignment horizontal="center" vertical="center" wrapText="1"/>
    </xf>
    <xf numFmtId="0" fontId="42" fillId="2" borderId="2" xfId="0" applyFont="1" applyFill="1" applyBorder="1" applyAlignment="1">
      <alignment horizontal="center" vertical="center" wrapText="1"/>
    </xf>
    <xf numFmtId="0" fontId="43" fillId="2" borderId="6" xfId="0" applyFont="1" applyFill="1" applyBorder="1" applyAlignment="1">
      <alignment horizontal="center" vertical="center" wrapText="1"/>
    </xf>
    <xf numFmtId="0" fontId="42" fillId="2" borderId="10" xfId="0" applyFont="1" applyFill="1" applyBorder="1" applyAlignment="1">
      <alignment horizontal="left" vertical="center" wrapText="1"/>
    </xf>
    <xf numFmtId="0" fontId="48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/>
    </xf>
    <xf numFmtId="0" fontId="36" fillId="2" borderId="5" xfId="0" applyFont="1" applyFill="1" applyBorder="1" applyAlignment="1">
      <alignment horizontal="center"/>
    </xf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colors>
    <mruColors>
      <color rgb="FF381C19"/>
      <color rgb="FF055B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gastankers.info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1824990</xdr:colOff>
      <xdr:row>0</xdr:row>
      <xdr:rowOff>750570</xdr:rowOff>
    </xdr:to>
    <xdr:pic>
      <xdr:nvPicPr>
        <xdr:cNvPr id="2056" name="Obraz 3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B56B37-1D09-40D1-BB84-5E46F0602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24990" cy="750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</xdr:colOff>
      <xdr:row>5</xdr:row>
      <xdr:rowOff>19050</xdr:rowOff>
    </xdr:from>
    <xdr:to>
      <xdr:col>15</xdr:col>
      <xdr:colOff>361950</xdr:colOff>
      <xdr:row>95</xdr:row>
      <xdr:rowOff>148590</xdr:rowOff>
    </xdr:to>
    <xdr:pic>
      <xdr:nvPicPr>
        <xdr:cNvPr id="7179" name="Picture 1">
          <a:extLst>
            <a:ext uri="{FF2B5EF4-FFF2-40B4-BE49-F238E27FC236}">
              <a16:creationId xmlns:a16="http://schemas.microsoft.com/office/drawing/2014/main" id="{7574455B-202B-43CB-914F-4120F73A3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" y="1024890"/>
          <a:ext cx="9742170" cy="1418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91440</xdr:rowOff>
    </xdr:from>
    <xdr:to>
      <xdr:col>15</xdr:col>
      <xdr:colOff>361950</xdr:colOff>
      <xdr:row>92</xdr:row>
      <xdr:rowOff>72390</xdr:rowOff>
    </xdr:to>
    <xdr:pic>
      <xdr:nvPicPr>
        <xdr:cNvPr id="8203" name="Picture 2">
          <a:extLst>
            <a:ext uri="{FF2B5EF4-FFF2-40B4-BE49-F238E27FC236}">
              <a16:creationId xmlns:a16="http://schemas.microsoft.com/office/drawing/2014/main" id="{C920CED3-1BFA-435F-B9AC-A7640382C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1070"/>
          <a:ext cx="9791700" cy="13727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811530</xdr:colOff>
      <xdr:row>4</xdr:row>
      <xdr:rowOff>26670</xdr:rowOff>
    </xdr:from>
    <xdr:to>
      <xdr:col>10</xdr:col>
      <xdr:colOff>19050</xdr:colOff>
      <xdr:row>35</xdr:row>
      <xdr:rowOff>114300</xdr:rowOff>
    </xdr:to>
    <xdr:pic>
      <xdr:nvPicPr>
        <xdr:cNvPr id="9227" name="Picture 3">
          <a:extLst>
            <a:ext uri="{FF2B5EF4-FFF2-40B4-BE49-F238E27FC236}">
              <a16:creationId xmlns:a16="http://schemas.microsoft.com/office/drawing/2014/main" id="{035C1240-A04A-4533-B3E6-07F8F2FB9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" y="910590"/>
          <a:ext cx="6511290" cy="5993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oshmadison.com/convert-for-windows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/>
  <dimension ref="A1:G22"/>
  <sheetViews>
    <sheetView showGridLines="0" tabSelected="1" zoomScaleNormal="100" workbookViewId="0">
      <selection activeCell="A2" sqref="A2"/>
    </sheetView>
  </sheetViews>
  <sheetFormatPr defaultColWidth="9.1640625" defaultRowHeight="20.05" customHeight="1" x14ac:dyDescent="0.4"/>
  <cols>
    <col min="1" max="1" width="30.609375" style="56" customWidth="1"/>
    <col min="2" max="2" width="20.609375" style="56" customWidth="1"/>
    <col min="3" max="4" width="30.609375" style="56" customWidth="1"/>
    <col min="5" max="16384" width="9.1640625" style="56"/>
  </cols>
  <sheetData>
    <row r="1" spans="1:6" s="60" customFormat="1" ht="60" customHeight="1" x14ac:dyDescent="0.4">
      <c r="A1" s="58"/>
      <c r="B1" s="59" t="s">
        <v>694</v>
      </c>
    </row>
    <row r="2" spans="1:6" s="144" customFormat="1" ht="25" customHeight="1" x14ac:dyDescent="0.4">
      <c r="A2" s="145" t="s">
        <v>708</v>
      </c>
      <c r="B2" s="143" t="s">
        <v>707</v>
      </c>
    </row>
    <row r="3" spans="1:6" s="60" customFormat="1" ht="30" customHeight="1" thickBot="1" x14ac:dyDescent="0.7">
      <c r="A3" s="147" t="s">
        <v>695</v>
      </c>
      <c r="B3" s="146" t="s">
        <v>709</v>
      </c>
    </row>
    <row r="4" spans="1:6" s="57" customFormat="1" ht="20.05" customHeight="1" thickTop="1" x14ac:dyDescent="0.4">
      <c r="A4" s="61" t="s">
        <v>19</v>
      </c>
      <c r="B4" s="62"/>
      <c r="C4" s="63" t="s">
        <v>37</v>
      </c>
    </row>
    <row r="5" spans="1:6" s="57" customFormat="1" ht="20.05" customHeight="1" thickBot="1" x14ac:dyDescent="0.45">
      <c r="A5" s="140"/>
      <c r="B5" s="141"/>
      <c r="C5" s="142"/>
    </row>
    <row r="6" spans="1:6" ht="20.05" customHeight="1" thickTop="1" x14ac:dyDescent="0.4">
      <c r="A6" s="64" t="s">
        <v>20</v>
      </c>
      <c r="B6" s="65"/>
      <c r="C6" s="66" t="s">
        <v>150</v>
      </c>
      <c r="D6" s="55"/>
    </row>
    <row r="7" spans="1:6" ht="20.05" customHeight="1" x14ac:dyDescent="0.4">
      <c r="A7" s="67" t="s">
        <v>21</v>
      </c>
      <c r="B7" s="68"/>
      <c r="C7" s="69" t="s">
        <v>602</v>
      </c>
      <c r="D7" s="55"/>
    </row>
    <row r="8" spans="1:6" ht="20.05" customHeight="1" x14ac:dyDescent="0.4">
      <c r="A8" s="67" t="s">
        <v>691</v>
      </c>
      <c r="B8" s="68"/>
      <c r="C8" s="69" t="s">
        <v>187</v>
      </c>
      <c r="D8" s="55"/>
    </row>
    <row r="9" spans="1:6" ht="20.05" customHeight="1" x14ac:dyDescent="0.4">
      <c r="A9" s="67" t="s">
        <v>649</v>
      </c>
      <c r="B9" s="68"/>
      <c r="C9" s="69" t="s">
        <v>42</v>
      </c>
      <c r="D9" s="55"/>
    </row>
    <row r="10" spans="1:6" ht="20.05" customHeight="1" x14ac:dyDescent="0.4">
      <c r="A10" s="67" t="s">
        <v>655</v>
      </c>
      <c r="B10" s="68"/>
      <c r="C10" s="69" t="s">
        <v>544</v>
      </c>
      <c r="D10" s="55"/>
      <c r="E10" s="55"/>
    </row>
    <row r="11" spans="1:6" ht="20.05" customHeight="1" x14ac:dyDescent="0.4">
      <c r="A11" s="67" t="s">
        <v>660</v>
      </c>
      <c r="B11" s="68"/>
      <c r="C11" s="69" t="s">
        <v>425</v>
      </c>
      <c r="D11" s="55"/>
    </row>
    <row r="12" spans="1:6" ht="20.05" customHeight="1" x14ac:dyDescent="0.4">
      <c r="A12" s="67" t="s">
        <v>644</v>
      </c>
      <c r="B12" s="68"/>
      <c r="C12" s="69" t="s">
        <v>426</v>
      </c>
      <c r="D12" s="55"/>
      <c r="E12" s="55"/>
    </row>
    <row r="13" spans="1:6" ht="20.05" customHeight="1" x14ac:dyDescent="0.4">
      <c r="A13" s="67" t="s">
        <v>663</v>
      </c>
      <c r="B13" s="68"/>
      <c r="C13" s="69" t="s">
        <v>38</v>
      </c>
      <c r="D13" s="55"/>
      <c r="E13" s="55"/>
    </row>
    <row r="14" spans="1:6" ht="20.05" customHeight="1" x14ac:dyDescent="0.4">
      <c r="A14" s="67" t="s">
        <v>671</v>
      </c>
      <c r="B14" s="68"/>
      <c r="C14" s="69" t="s">
        <v>39</v>
      </c>
      <c r="D14" s="55"/>
      <c r="E14" s="55"/>
      <c r="F14" s="55"/>
    </row>
    <row r="15" spans="1:6" ht="20.05" customHeight="1" x14ac:dyDescent="0.4">
      <c r="A15" s="67" t="s">
        <v>683</v>
      </c>
      <c r="B15" s="68"/>
      <c r="C15" s="70"/>
    </row>
    <row r="16" spans="1:6" ht="20.05" customHeight="1" x14ac:dyDescent="0.4">
      <c r="A16" s="67" t="s">
        <v>688</v>
      </c>
      <c r="B16" s="68"/>
      <c r="C16" s="70"/>
    </row>
    <row r="17" spans="1:7" ht="20.05" customHeight="1" thickBot="1" x14ac:dyDescent="0.45">
      <c r="A17" s="71"/>
      <c r="B17" s="72"/>
      <c r="C17" s="73"/>
    </row>
    <row r="18" spans="1:7" ht="20.05" customHeight="1" thickTop="1" x14ac:dyDescent="0.4"/>
    <row r="19" spans="1:7" ht="20.05" customHeight="1" x14ac:dyDescent="0.4">
      <c r="G19" s="55"/>
    </row>
    <row r="20" spans="1:7" ht="20.05" customHeight="1" x14ac:dyDescent="0.4">
      <c r="G20" s="55"/>
    </row>
    <row r="21" spans="1:7" ht="20.05" customHeight="1" x14ac:dyDescent="0.4">
      <c r="G21" s="55"/>
    </row>
    <row r="22" spans="1:7" ht="20.05" customHeight="1" x14ac:dyDescent="0.4">
      <c r="G22" s="55"/>
    </row>
  </sheetData>
  <sheetProtection sheet="1" objects="1" scenarios="1"/>
  <hyperlinks>
    <hyperlink ref="A6" location="Prędkość!A1" display="Prędkość!A1" xr:uid="{00000000-0004-0000-0000-000000000000}"/>
    <hyperlink ref="A7" location="Odległość!A1" display="Odległość!A1" xr:uid="{00000000-0004-0000-0000-000001000000}"/>
    <hyperlink ref="C13" location="Północne!A1" display="Północne!A1" xr:uid="{00000000-0004-0000-0000-000002000000}"/>
    <hyperlink ref="C14" location="Południowe!A1" display="Południowe!A1" xr:uid="{00000000-0004-0000-0000-000003000000}"/>
    <hyperlink ref="C9" location="'Róża wiatrów'!A1" display="'Róża wiatrów'!A1" xr:uid="{00000000-0004-0000-0000-000004000000}"/>
    <hyperlink ref="F19:G19" location="Północne!A1" display="Północne!A1" xr:uid="{00000000-0004-0000-0000-000005000000}"/>
    <hyperlink ref="F20:G20" location="Południowe!A1" display="Południowe!A1" xr:uid="{00000000-0004-0000-0000-000006000000}"/>
    <hyperlink ref="F21:G21" location="'Róża wiatrów'!A1" display="'Róża wiatrów'!A1" xr:uid="{00000000-0004-0000-0000-000007000000}"/>
    <hyperlink ref="F22:G22" location="Przedrostki!A1" display="Przedrostki!A1" xr:uid="{00000000-0004-0000-0000-000008000000}"/>
    <hyperlink ref="C8:D8" location="Beaufort!A1" display="Beaufort!A1" xr:uid="{00000000-0004-0000-0000-000009000000}"/>
    <hyperlink ref="C9:D9" location="'Róża wiatrów'!A1" display="'Róża wiatrów'!A1" xr:uid="{00000000-0004-0000-0000-00000A000000}"/>
    <hyperlink ref="C13:E13" location="Północne!A1" display="Północne!A1" xr:uid="{00000000-0004-0000-0000-00000B000000}"/>
    <hyperlink ref="C14:F14" location="Południowe!A1" display="Południowe!A1" xr:uid="{00000000-0004-0000-0000-00000C000000}"/>
    <hyperlink ref="C6:D6" location="Przedrostki!A1" display="Przedrostki!A1" xr:uid="{00000000-0004-0000-0000-00000D000000}"/>
    <hyperlink ref="C11:D11" location="SI!A1" display="SI!A1" xr:uid="{00000000-0004-0000-0000-00000E000000}"/>
    <hyperlink ref="C12:D12" location="SI!A1" display="SI!A1" xr:uid="{00000000-0004-0000-0000-00000F000000}"/>
    <hyperlink ref="C12:E12" location="'Nie SI'!A1" display="'Nie SI'!A1" xr:uid="{00000000-0004-0000-0000-000010000000}"/>
    <hyperlink ref="C10:E10" location="Widzialność!A1" display="Widzialność!A1" xr:uid="{00000000-0004-0000-0000-000011000000}"/>
    <hyperlink ref="C7:D7" location="Stałe!A1" display="Stałe!A1" xr:uid="{00000000-0004-0000-0000-000012000000}"/>
    <hyperlink ref="A12" location="Ciśnienie!A1" display="Ciśnienie!A1" xr:uid="{00000000-0004-0000-0000-000013000000}"/>
    <hyperlink ref="A9" location="Pojemność!A1" display="Pojemność!A1" xr:uid="{00000000-0004-0000-0000-000014000000}"/>
    <hyperlink ref="A10" location="Masa!A1" display="Masa!A1" xr:uid="{00000000-0004-0000-0000-000015000000}"/>
    <hyperlink ref="A11" location="Temperatura!A1" display="Temperatura!A1" xr:uid="{00000000-0004-0000-0000-000016000000}"/>
    <hyperlink ref="A13" location="Moc!A1" display="Moc!A1" xr:uid="{00000000-0004-0000-0000-000017000000}"/>
    <hyperlink ref="A14" location="Siła!A1" display="Siła!A1" xr:uid="{00000000-0004-0000-0000-000018000000}"/>
    <hyperlink ref="A15" location="Energia!A1" display="Energia!A1" xr:uid="{00000000-0004-0000-0000-000019000000}"/>
    <hyperlink ref="A16" location="Kąty!A1" display="Kąty!A1" xr:uid="{00000000-0004-0000-0000-00001A000000}"/>
    <hyperlink ref="A8" location="Powierzchnia!A1" display="Powierzchnia!A1" xr:uid="{00000000-0004-0000-0000-00001B000000}"/>
    <hyperlink ref="B2" r:id="rId1" xr:uid="{00000000-0004-0000-0000-00001C000000}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3"/>
  <dimension ref="A1:L20"/>
  <sheetViews>
    <sheetView workbookViewId="0">
      <selection activeCell="C7" sqref="C7"/>
    </sheetView>
  </sheetViews>
  <sheetFormatPr defaultColWidth="17.71875" defaultRowHeight="17.399999999999999" x14ac:dyDescent="0.55000000000000004"/>
  <cols>
    <col min="1" max="1" width="0.83203125" style="37" customWidth="1"/>
    <col min="2" max="2" width="20.83203125" style="37" customWidth="1"/>
    <col min="3" max="8" width="18.71875" style="37" customWidth="1"/>
    <col min="9" max="10" width="16.71875" style="37" customWidth="1"/>
    <col min="11" max="12" width="14.71875" style="37" customWidth="1"/>
    <col min="13" max="16384" width="17.71875" style="37"/>
  </cols>
  <sheetData>
    <row r="1" spans="1:12" s="76" customFormat="1" x14ac:dyDescent="0.55000000000000004">
      <c r="A1" s="75" t="s">
        <v>27</v>
      </c>
    </row>
    <row r="2" spans="1:12" s="76" customFormat="1" x14ac:dyDescent="0.55000000000000004"/>
    <row r="3" spans="1:12" s="76" customFormat="1" ht="19.8" x14ac:dyDescent="0.65">
      <c r="A3" s="74" t="s">
        <v>704</v>
      </c>
    </row>
    <row r="6" spans="1:12" s="43" customFormat="1" ht="30" customHeight="1" x14ac:dyDescent="0.5">
      <c r="B6" s="190"/>
      <c r="C6" s="190" t="s">
        <v>672</v>
      </c>
      <c r="D6" s="197" t="s">
        <v>676</v>
      </c>
      <c r="E6" s="190" t="s">
        <v>673</v>
      </c>
      <c r="F6" s="197" t="s">
        <v>674</v>
      </c>
      <c r="G6" s="198" t="s">
        <v>675</v>
      </c>
      <c r="H6" s="192" t="s">
        <v>687</v>
      </c>
      <c r="I6" s="44"/>
      <c r="J6" s="44"/>
      <c r="K6" s="44"/>
      <c r="L6" s="44"/>
    </row>
    <row r="7" spans="1:12" s="45" customFormat="1" ht="30" customHeight="1" x14ac:dyDescent="0.6">
      <c r="B7" s="193"/>
      <c r="C7" s="95"/>
      <c r="D7" s="95"/>
      <c r="E7" s="95"/>
      <c r="F7" s="95"/>
      <c r="G7" s="96"/>
      <c r="H7" s="96"/>
      <c r="I7" s="46"/>
      <c r="J7" s="46"/>
      <c r="K7" s="46"/>
      <c r="L7" s="46"/>
    </row>
    <row r="8" spans="1:12" s="45" customFormat="1" ht="30" customHeight="1" x14ac:dyDescent="0.55000000000000004">
      <c r="B8" s="194" t="s">
        <v>672</v>
      </c>
      <c r="C8" s="131" t="str">
        <f>IF(C7="","",C7)</f>
        <v/>
      </c>
      <c r="D8" s="131" t="str">
        <f>IF(D7="","",D7*10^3)</f>
        <v/>
      </c>
      <c r="E8" s="131" t="str">
        <f>IF(E7="","",E7*10^(-5))</f>
        <v/>
      </c>
      <c r="F8" s="131" t="str">
        <f>IF(F7="","",F7*9.80665)</f>
        <v/>
      </c>
      <c r="G8" s="132" t="str">
        <f>IF(G7="","",G7*9.80665)</f>
        <v/>
      </c>
      <c r="H8" s="132" t="str">
        <f>IF(H7="","",H7*0.138255)</f>
        <v/>
      </c>
      <c r="I8" s="47"/>
      <c r="J8" s="47"/>
      <c r="K8" s="47"/>
      <c r="L8" s="47"/>
    </row>
    <row r="9" spans="1:12" s="45" customFormat="1" ht="30" customHeight="1" x14ac:dyDescent="0.55000000000000004">
      <c r="B9" s="194" t="s">
        <v>676</v>
      </c>
      <c r="C9" s="131" t="str">
        <f>IF(C7="","",C8*10^(-3))</f>
        <v/>
      </c>
      <c r="D9" s="131" t="str">
        <f>IF(D7="","",D7)</f>
        <v/>
      </c>
      <c r="E9" s="131" t="str">
        <f>IF(E7="","",E8*10^(-3))</f>
        <v/>
      </c>
      <c r="F9" s="131" t="str">
        <f>IF(F7="","",F8*10^(-3))</f>
        <v/>
      </c>
      <c r="G9" s="132" t="str">
        <f>IF(G7="","",G8*10^(-3))</f>
        <v/>
      </c>
      <c r="H9" s="132" t="str">
        <f>IF(H7="","",H7*0.000138255)</f>
        <v/>
      </c>
      <c r="I9" s="47"/>
      <c r="J9" s="47"/>
      <c r="K9" s="47"/>
      <c r="L9" s="47"/>
    </row>
    <row r="10" spans="1:12" s="45" customFormat="1" ht="30" customHeight="1" x14ac:dyDescent="0.55000000000000004">
      <c r="B10" s="194" t="s">
        <v>673</v>
      </c>
      <c r="C10" s="131" t="str">
        <f>IF(C7="","",C8/10^(-5))</f>
        <v/>
      </c>
      <c r="D10" s="131" t="str">
        <f>IF(D7="","",D8/10^(-5))</f>
        <v/>
      </c>
      <c r="E10" s="131" t="str">
        <f>IF(E7="","",E7)</f>
        <v/>
      </c>
      <c r="F10" s="131" t="str">
        <f>IF(F7="","",F8/10^(-5))</f>
        <v/>
      </c>
      <c r="G10" s="132" t="str">
        <f>IF(G7="","",G8/10^(-5))</f>
        <v/>
      </c>
      <c r="H10" s="132" t="str">
        <f>IF(H7="","",H8/10^(-5))</f>
        <v/>
      </c>
      <c r="I10" s="47"/>
      <c r="J10" s="47"/>
      <c r="K10" s="47"/>
      <c r="L10" s="47"/>
    </row>
    <row r="11" spans="1:12" s="45" customFormat="1" ht="30" customHeight="1" x14ac:dyDescent="0.55000000000000004">
      <c r="B11" s="194" t="s">
        <v>674</v>
      </c>
      <c r="C11" s="131" t="str">
        <f>IF(C7="","",C7/9.80665)</f>
        <v/>
      </c>
      <c r="D11" s="131" t="str">
        <f>IF(D7="","",D8/9.80665)</f>
        <v/>
      </c>
      <c r="E11" s="131" t="str">
        <f>IF(E7="","",E8/9.80665)</f>
        <v/>
      </c>
      <c r="F11" s="131" t="str">
        <f>IF(F7="","",F7)</f>
        <v/>
      </c>
      <c r="G11" s="131" t="str">
        <f>IF(G7="","",G8/9.80665)</f>
        <v/>
      </c>
      <c r="H11" s="132" t="str">
        <f>IF(H7="","",H8/9.80665)</f>
        <v/>
      </c>
      <c r="I11" s="47"/>
      <c r="J11" s="47"/>
      <c r="K11" s="47"/>
      <c r="L11" s="47"/>
    </row>
    <row r="12" spans="1:12" s="45" customFormat="1" ht="30" customHeight="1" x14ac:dyDescent="0.55000000000000004">
      <c r="B12" s="194" t="s">
        <v>675</v>
      </c>
      <c r="C12" s="131" t="str">
        <f>IF(C7="","",C7/9.80665)</f>
        <v/>
      </c>
      <c r="D12" s="131" t="str">
        <f>IF(D7="","",D8/9.80665)</f>
        <v/>
      </c>
      <c r="E12" s="131" t="str">
        <f>IF(E7="","",E8/9.80665)</f>
        <v/>
      </c>
      <c r="F12" s="131" t="str">
        <f>IF(F7="","",F8/9.80665)</f>
        <v/>
      </c>
      <c r="G12" s="131" t="str">
        <f>IF(G7="","",G7)</f>
        <v/>
      </c>
      <c r="H12" s="132" t="str">
        <f>IF(H7="","",H8/9.80665)</f>
        <v/>
      </c>
      <c r="I12" s="47"/>
      <c r="J12" s="47"/>
      <c r="K12" s="47"/>
      <c r="L12" s="47"/>
    </row>
    <row r="13" spans="1:12" s="45" customFormat="1" ht="30" customHeight="1" x14ac:dyDescent="0.55000000000000004">
      <c r="B13" s="195" t="s">
        <v>687</v>
      </c>
      <c r="C13" s="133" t="str">
        <f>IF(C7="","",C8/0.138255)</f>
        <v/>
      </c>
      <c r="D13" s="133" t="str">
        <f>IF(D7="","",D8/0.138255)</f>
        <v/>
      </c>
      <c r="E13" s="133" t="str">
        <f>IF(E7="","",E8/0.138255)</f>
        <v/>
      </c>
      <c r="F13" s="133" t="str">
        <f>IF(F7="","",F8/0.138255)</f>
        <v/>
      </c>
      <c r="G13" s="133" t="str">
        <f>IF(G7="","",G8/0.138255)</f>
        <v/>
      </c>
      <c r="H13" s="134" t="str">
        <f>IF(H7="","",H7)</f>
        <v/>
      </c>
      <c r="I13" s="47"/>
      <c r="J13" s="47"/>
      <c r="K13" s="47"/>
      <c r="L13" s="47"/>
    </row>
    <row r="14" spans="1:12" s="45" customFormat="1" ht="30" customHeight="1" x14ac:dyDescent="0.55000000000000004">
      <c r="B14" s="44"/>
      <c r="C14" s="47"/>
      <c r="D14" s="47"/>
      <c r="E14" s="47"/>
      <c r="F14" s="47"/>
      <c r="G14" s="47"/>
      <c r="H14" s="47"/>
      <c r="I14" s="47"/>
      <c r="J14" s="47"/>
      <c r="K14" s="47"/>
      <c r="L14" s="47"/>
    </row>
    <row r="15" spans="1:12" s="45" customFormat="1" ht="30" customHeight="1" x14ac:dyDescent="0.55000000000000004">
      <c r="B15" s="44"/>
      <c r="C15" s="47"/>
      <c r="D15" s="47"/>
      <c r="E15" s="47"/>
      <c r="F15" s="47"/>
      <c r="G15" s="47"/>
      <c r="H15" s="47"/>
      <c r="I15" s="47"/>
      <c r="J15" s="47"/>
      <c r="K15" s="47"/>
      <c r="L15" s="47"/>
    </row>
    <row r="16" spans="1:12" s="45" customFormat="1" ht="25" customHeight="1" x14ac:dyDescent="0.55000000000000004">
      <c r="B16" s="48"/>
      <c r="C16" s="47"/>
      <c r="D16" s="47"/>
      <c r="E16" s="47"/>
      <c r="F16" s="47"/>
      <c r="G16" s="47"/>
      <c r="H16" s="47"/>
      <c r="I16" s="47"/>
      <c r="J16" s="47"/>
      <c r="K16" s="47"/>
      <c r="L16" s="47"/>
    </row>
    <row r="17" spans="2:12" s="45" customFormat="1" ht="25" customHeight="1" x14ac:dyDescent="0.55000000000000004">
      <c r="B17" s="48"/>
      <c r="C17" s="47"/>
      <c r="D17" s="47"/>
      <c r="E17" s="47"/>
      <c r="F17" s="47"/>
      <c r="G17" s="47"/>
      <c r="H17" s="47"/>
      <c r="I17" s="47"/>
      <c r="J17" s="47"/>
      <c r="K17" s="47"/>
      <c r="L17" s="47"/>
    </row>
    <row r="18" spans="2:12" s="45" customFormat="1" x14ac:dyDescent="0.55000000000000004"/>
    <row r="19" spans="2:12" s="45" customFormat="1" x14ac:dyDescent="0.55000000000000004"/>
    <row r="20" spans="2:12" s="45" customFormat="1" x14ac:dyDescent="0.55000000000000004"/>
  </sheetData>
  <sheetProtection sheet="1" objects="1" scenarios="1"/>
  <hyperlinks>
    <hyperlink ref="A1" location="'Spis treści'!A1" display="'Spis treści'!A1" xr:uid="{00000000-0004-0000-0900-000000000000}"/>
  </hyperlink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4"/>
  <dimension ref="A1:K19"/>
  <sheetViews>
    <sheetView workbookViewId="0">
      <selection activeCell="C7" sqref="C7"/>
    </sheetView>
  </sheetViews>
  <sheetFormatPr defaultColWidth="17.71875" defaultRowHeight="17.399999999999999" x14ac:dyDescent="0.55000000000000004"/>
  <cols>
    <col min="1" max="1" width="0.83203125" style="37" customWidth="1"/>
    <col min="2" max="2" width="20.71875" style="37" customWidth="1"/>
    <col min="3" max="9" width="16.71875" style="37" customWidth="1"/>
    <col min="10" max="11" width="14.71875" style="37" customWidth="1"/>
    <col min="12" max="16384" width="17.71875" style="37"/>
  </cols>
  <sheetData>
    <row r="1" spans="1:11" s="76" customFormat="1" x14ac:dyDescent="0.55000000000000004">
      <c r="A1" s="75" t="s">
        <v>27</v>
      </c>
    </row>
    <row r="2" spans="1:11" s="76" customFormat="1" x14ac:dyDescent="0.55000000000000004"/>
    <row r="3" spans="1:11" s="76" customFormat="1" ht="19.8" x14ac:dyDescent="0.65">
      <c r="A3" s="74" t="s">
        <v>705</v>
      </c>
    </row>
    <row r="6" spans="1:11" s="43" customFormat="1" ht="30" customHeight="1" x14ac:dyDescent="0.5">
      <c r="B6" s="190"/>
      <c r="C6" s="190" t="s">
        <v>664</v>
      </c>
      <c r="D6" s="190" t="s">
        <v>670</v>
      </c>
      <c r="E6" s="197" t="s">
        <v>665</v>
      </c>
      <c r="F6" s="197" t="s">
        <v>666</v>
      </c>
      <c r="G6" s="197" t="s">
        <v>667</v>
      </c>
      <c r="H6" s="197" t="s">
        <v>668</v>
      </c>
      <c r="I6" s="198" t="s">
        <v>669</v>
      </c>
      <c r="J6" s="44"/>
      <c r="K6" s="44"/>
    </row>
    <row r="7" spans="1:11" s="45" customFormat="1" ht="30" customHeight="1" x14ac:dyDescent="0.6">
      <c r="B7" s="190"/>
      <c r="C7" s="95"/>
      <c r="D7" s="95"/>
      <c r="E7" s="95"/>
      <c r="F7" s="95"/>
      <c r="G7" s="95"/>
      <c r="H7" s="95"/>
      <c r="I7" s="96"/>
      <c r="J7" s="46"/>
      <c r="K7" s="46"/>
    </row>
    <row r="8" spans="1:11" s="45" customFormat="1" ht="30" customHeight="1" x14ac:dyDescent="0.55000000000000004">
      <c r="B8" s="190" t="s">
        <v>664</v>
      </c>
      <c r="C8" s="131" t="str">
        <f>IF(C7="","",C7)</f>
        <v/>
      </c>
      <c r="D8" s="131" t="str">
        <f>IF(D7="","",D7*10^3)</f>
        <v/>
      </c>
      <c r="E8" s="131" t="str">
        <f>IF(E7="","",E7)</f>
        <v/>
      </c>
      <c r="F8" s="131" t="str">
        <f>IF(F7="","",F7)</f>
        <v/>
      </c>
      <c r="G8" s="131" t="str">
        <f>IF(G7="","",G7*10^(-7))</f>
        <v/>
      </c>
      <c r="H8" s="131" t="str">
        <f>IF(H7="","",H7*735.49875)</f>
        <v/>
      </c>
      <c r="I8" s="132" t="str">
        <f>IF(I7="","",I7*4.1868)</f>
        <v/>
      </c>
      <c r="J8" s="47"/>
      <c r="K8" s="47"/>
    </row>
    <row r="9" spans="1:11" s="45" customFormat="1" ht="30" customHeight="1" x14ac:dyDescent="0.55000000000000004">
      <c r="B9" s="194" t="s">
        <v>670</v>
      </c>
      <c r="C9" s="131" t="str">
        <f>IF(C7="","",C7/10^3)</f>
        <v/>
      </c>
      <c r="D9" s="131" t="str">
        <f>IF(D7="","",D7)</f>
        <v/>
      </c>
      <c r="E9" s="131" t="str">
        <f>IF(E7="","",E7/10^3)</f>
        <v/>
      </c>
      <c r="F9" s="131" t="str">
        <f>IF(F7="","",F7/10^3)</f>
        <v/>
      </c>
      <c r="G9" s="131" t="str">
        <f>IF(G7="","",G8*10^(-3))</f>
        <v/>
      </c>
      <c r="H9" s="131" t="str">
        <f>IF(H7="","",H8*10^(-3))</f>
        <v/>
      </c>
      <c r="I9" s="132" t="str">
        <f>IF(I7="","",I8*10^(-3))</f>
        <v/>
      </c>
      <c r="J9" s="47"/>
      <c r="K9" s="47"/>
    </row>
    <row r="10" spans="1:11" s="45" customFormat="1" ht="30" customHeight="1" x14ac:dyDescent="0.55000000000000004">
      <c r="B10" s="194" t="s">
        <v>665</v>
      </c>
      <c r="C10" s="131" t="str">
        <f>IF(C7="","",C7)</f>
        <v/>
      </c>
      <c r="D10" s="131" t="str">
        <f>IF(D7="","",D8)</f>
        <v/>
      </c>
      <c r="E10" s="131" t="str">
        <f>IF(E7="","",E7)</f>
        <v/>
      </c>
      <c r="F10" s="131" t="str">
        <f>IF(F7="","",F7)</f>
        <v/>
      </c>
      <c r="G10" s="131" t="str">
        <f>IF(G7="","",G8)</f>
        <v/>
      </c>
      <c r="H10" s="131" t="str">
        <f>IF(H7="","",H8)</f>
        <v/>
      </c>
      <c r="I10" s="132" t="str">
        <f>IF(I7="","",I8)</f>
        <v/>
      </c>
      <c r="J10" s="47"/>
      <c r="K10" s="47"/>
    </row>
    <row r="11" spans="1:11" s="45" customFormat="1" ht="30" customHeight="1" x14ac:dyDescent="0.55000000000000004">
      <c r="B11" s="196" t="s">
        <v>666</v>
      </c>
      <c r="C11" s="135" t="str">
        <f>IF(C7="","",C7)</f>
        <v/>
      </c>
      <c r="D11" s="135" t="str">
        <f>IF(D7="","",D8)</f>
        <v/>
      </c>
      <c r="E11" s="135" t="str">
        <f>IF(E7="","",E7)</f>
        <v/>
      </c>
      <c r="F11" s="135" t="str">
        <f>IF(F7="","",F7)</f>
        <v/>
      </c>
      <c r="G11" s="135" t="str">
        <f>IF(G7="","",G8)</f>
        <v/>
      </c>
      <c r="H11" s="135" t="str">
        <f>IF(H7="","",H8)</f>
        <v/>
      </c>
      <c r="I11" s="136" t="str">
        <f>IF(I7="","",I8)</f>
        <v/>
      </c>
      <c r="J11" s="47"/>
      <c r="K11" s="47"/>
    </row>
    <row r="12" spans="1:11" s="45" customFormat="1" ht="30" customHeight="1" x14ac:dyDescent="0.55000000000000004">
      <c r="B12" s="196" t="s">
        <v>667</v>
      </c>
      <c r="C12" s="131" t="str">
        <f>IF(C7="","",C7/10^(-7))</f>
        <v/>
      </c>
      <c r="D12" s="131" t="str">
        <f>IF(D7="","",D8/10^(-7))</f>
        <v/>
      </c>
      <c r="E12" s="131" t="str">
        <f>IF(E7="","",E8/10^(-7))</f>
        <v/>
      </c>
      <c r="F12" s="131" t="str">
        <f>IF(F7="","",F8/10^(-7))</f>
        <v/>
      </c>
      <c r="G12" s="135" t="str">
        <f>IF(G7="","",G7)</f>
        <v/>
      </c>
      <c r="H12" s="131" t="str">
        <f>IF(H7="","",H8/10^(-7))</f>
        <v/>
      </c>
      <c r="I12" s="132" t="str">
        <f>IF(I7="","",I8/10^(-7))</f>
        <v/>
      </c>
      <c r="J12" s="47"/>
      <c r="K12" s="47"/>
    </row>
    <row r="13" spans="1:11" s="45" customFormat="1" ht="30" customHeight="1" x14ac:dyDescent="0.55000000000000004">
      <c r="B13" s="196" t="s">
        <v>668</v>
      </c>
      <c r="C13" s="131" t="str">
        <f>IF(C7="","",C7/735.49875)</f>
        <v/>
      </c>
      <c r="D13" s="131" t="str">
        <f>IF(D7="","",D8/735.49875)</f>
        <v/>
      </c>
      <c r="E13" s="131" t="str">
        <f>IF(E7="","",E8/735.49875)</f>
        <v/>
      </c>
      <c r="F13" s="131" t="str">
        <f>IF(F7="","",F8/735.49875)</f>
        <v/>
      </c>
      <c r="G13" s="131" t="str">
        <f>IF(G7="","",G8/735.49875)</f>
        <v/>
      </c>
      <c r="H13" s="135" t="str">
        <f>IF(H7="","",H7)</f>
        <v/>
      </c>
      <c r="I13" s="132" t="str">
        <f>IF(I7="","",I8/735.49875)</f>
        <v/>
      </c>
      <c r="J13" s="47"/>
      <c r="K13" s="47"/>
    </row>
    <row r="14" spans="1:11" s="45" customFormat="1" ht="30" customHeight="1" x14ac:dyDescent="0.55000000000000004">
      <c r="B14" s="190" t="s">
        <v>669</v>
      </c>
      <c r="C14" s="133" t="str">
        <f>IF(C7="","",C7/4.1868)</f>
        <v/>
      </c>
      <c r="D14" s="133" t="str">
        <f>IF(D7="","",D8/4.1868)</f>
        <v/>
      </c>
      <c r="E14" s="133" t="str">
        <f>IF(E7="","",E8/4.1868)</f>
        <v/>
      </c>
      <c r="F14" s="133" t="str">
        <f>IF(F7="","",F8/4.1868)</f>
        <v/>
      </c>
      <c r="G14" s="133" t="str">
        <f>IF(G7="","",G8/4.1868)</f>
        <v/>
      </c>
      <c r="H14" s="133" t="str">
        <f>IF(H7="","",H8/4.1868)</f>
        <v/>
      </c>
      <c r="I14" s="137" t="str">
        <f>IF(I7="","",I7)</f>
        <v/>
      </c>
      <c r="J14" s="47"/>
      <c r="K14" s="47"/>
    </row>
    <row r="15" spans="1:11" s="45" customFormat="1" ht="25" customHeight="1" x14ac:dyDescent="0.55000000000000004">
      <c r="B15" s="48"/>
      <c r="C15" s="47"/>
      <c r="D15" s="47"/>
      <c r="E15" s="47"/>
      <c r="F15" s="47"/>
      <c r="G15" s="47"/>
      <c r="H15" s="47"/>
      <c r="I15" s="47"/>
      <c r="J15" s="47"/>
      <c r="K15" s="47"/>
    </row>
    <row r="16" spans="1:11" s="45" customFormat="1" ht="25" customHeight="1" x14ac:dyDescent="0.55000000000000004">
      <c r="B16" s="48"/>
      <c r="C16" s="47"/>
      <c r="D16" s="47"/>
      <c r="E16" s="47"/>
      <c r="F16" s="47"/>
      <c r="G16" s="47"/>
      <c r="H16" s="47"/>
      <c r="I16" s="47"/>
      <c r="J16" s="47"/>
      <c r="K16" s="47"/>
    </row>
    <row r="17" s="45" customFormat="1" x14ac:dyDescent="0.55000000000000004"/>
    <row r="18" s="45" customFormat="1" x14ac:dyDescent="0.55000000000000004"/>
    <row r="19" s="45" customFormat="1" x14ac:dyDescent="0.55000000000000004"/>
  </sheetData>
  <sheetProtection sheet="1" objects="1" scenarios="1"/>
  <hyperlinks>
    <hyperlink ref="A1" location="'Spis treści'!A1" display="'Spis treści'!A1" xr:uid="{00000000-0004-0000-0A00-000000000000}"/>
  </hyperlinks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5"/>
  <dimension ref="A1:L31"/>
  <sheetViews>
    <sheetView workbookViewId="0">
      <selection activeCell="D7" sqref="D7"/>
    </sheetView>
  </sheetViews>
  <sheetFormatPr defaultColWidth="17.71875" defaultRowHeight="17.399999999999999" x14ac:dyDescent="0.55000000000000004"/>
  <cols>
    <col min="1" max="1" width="0.83203125" style="37" customWidth="1"/>
    <col min="2" max="2" width="14.1640625" style="37" customWidth="1"/>
    <col min="3" max="7" width="15.71875" style="37" customWidth="1"/>
    <col min="8" max="12" width="14.71875" style="37" customWidth="1"/>
    <col min="13" max="16384" width="17.71875" style="37"/>
  </cols>
  <sheetData>
    <row r="1" spans="1:12" s="76" customFormat="1" x14ac:dyDescent="0.55000000000000004">
      <c r="A1" s="75" t="s">
        <v>27</v>
      </c>
    </row>
    <row r="2" spans="1:12" s="76" customFormat="1" x14ac:dyDescent="0.55000000000000004"/>
    <row r="3" spans="1:12" s="76" customFormat="1" ht="19.8" x14ac:dyDescent="0.65">
      <c r="A3" s="74" t="s">
        <v>706</v>
      </c>
    </row>
    <row r="4" spans="1:12" s="49" customFormat="1" x14ac:dyDescent="0.4">
      <c r="F4" s="148" t="s">
        <v>689</v>
      </c>
      <c r="G4" s="148"/>
    </row>
    <row r="5" spans="1:12" s="49" customFormat="1" x14ac:dyDescent="0.4"/>
    <row r="6" spans="1:12" s="43" customFormat="1" ht="30" customHeight="1" x14ac:dyDescent="0.5">
      <c r="C6" s="196"/>
      <c r="D6" s="190" t="s">
        <v>432</v>
      </c>
      <c r="E6" s="197" t="s">
        <v>428</v>
      </c>
      <c r="F6" s="190" t="s">
        <v>325</v>
      </c>
      <c r="G6" s="197" t="s">
        <v>327</v>
      </c>
      <c r="H6" s="198" t="s">
        <v>433</v>
      </c>
      <c r="I6" s="44"/>
      <c r="J6" s="44"/>
      <c r="K6" s="44"/>
      <c r="L6" s="44"/>
    </row>
    <row r="7" spans="1:12" s="45" customFormat="1" ht="30" customHeight="1" x14ac:dyDescent="0.6">
      <c r="C7" s="194"/>
      <c r="D7" s="95"/>
      <c r="E7" s="95"/>
      <c r="F7" s="95"/>
      <c r="G7" s="95"/>
      <c r="H7" s="96"/>
      <c r="I7" s="46"/>
      <c r="J7" s="46"/>
      <c r="K7" s="46"/>
      <c r="L7" s="46"/>
    </row>
    <row r="8" spans="1:12" s="45" customFormat="1" ht="30" customHeight="1" x14ac:dyDescent="0.55000000000000004">
      <c r="C8" s="194" t="s">
        <v>432</v>
      </c>
      <c r="D8" s="127" t="str">
        <f>IF(D7="","",D7)</f>
        <v/>
      </c>
      <c r="E8" s="127" t="str">
        <f>IF(E7="","",E7/60)</f>
        <v/>
      </c>
      <c r="F8" s="127" t="str">
        <f>IF(F7="","",F7/3600)</f>
        <v/>
      </c>
      <c r="G8" s="127" t="str">
        <f>IF(G7="","",DEGREES(G7))</f>
        <v/>
      </c>
      <c r="H8" s="128" t="str">
        <f>IF(H7="","",DEGREES(H11))</f>
        <v/>
      </c>
      <c r="I8" s="47"/>
      <c r="J8" s="47"/>
      <c r="K8" s="47"/>
      <c r="L8" s="47"/>
    </row>
    <row r="9" spans="1:12" s="45" customFormat="1" ht="30" customHeight="1" x14ac:dyDescent="0.55000000000000004">
      <c r="C9" s="194" t="s">
        <v>428</v>
      </c>
      <c r="D9" s="127" t="str">
        <f>IF(D7="","",D7*60)</f>
        <v/>
      </c>
      <c r="E9" s="127" t="str">
        <f>IF(E7="","",E7)</f>
        <v/>
      </c>
      <c r="F9" s="127" t="str">
        <f>IF(F7="","",F7/60)</f>
        <v/>
      </c>
      <c r="G9" s="127" t="str">
        <f>IF(G7="","",G8*60)</f>
        <v/>
      </c>
      <c r="H9" s="128" t="str">
        <f>IF(H7="","",H8*60)</f>
        <v/>
      </c>
      <c r="I9" s="47"/>
      <c r="J9" s="47"/>
      <c r="K9" s="47"/>
      <c r="L9" s="47"/>
    </row>
    <row r="10" spans="1:12" s="45" customFormat="1" ht="30" customHeight="1" x14ac:dyDescent="0.55000000000000004">
      <c r="C10" s="194" t="s">
        <v>325</v>
      </c>
      <c r="D10" s="127" t="str">
        <f>IF(D7="","",D7*3600)</f>
        <v/>
      </c>
      <c r="E10" s="127" t="str">
        <f>IF(E7="","",E7*60)</f>
        <v/>
      </c>
      <c r="F10" s="127" t="str">
        <f>IF(F7="","",F7)</f>
        <v/>
      </c>
      <c r="G10" s="127" t="str">
        <f>IF(G7="","",G8*3600)</f>
        <v/>
      </c>
      <c r="H10" s="128" t="str">
        <f>IF(H7="","",H8*3600)</f>
        <v/>
      </c>
      <c r="I10" s="47"/>
      <c r="J10" s="47"/>
      <c r="K10" s="47"/>
      <c r="L10" s="47"/>
    </row>
    <row r="11" spans="1:12" s="45" customFormat="1" ht="30" customHeight="1" x14ac:dyDescent="0.55000000000000004">
      <c r="C11" s="194" t="s">
        <v>327</v>
      </c>
      <c r="D11" s="127" t="str">
        <f>IF(D7="","",RADIANS(D7))</f>
        <v/>
      </c>
      <c r="E11" s="127" t="str">
        <f>IF(E7="","",RADIANS(E8))</f>
        <v/>
      </c>
      <c r="F11" s="127" t="str">
        <f>IF(F7="","",RADIANS(F8))</f>
        <v/>
      </c>
      <c r="G11" s="127" t="str">
        <f>IF(G7="","",G7)</f>
        <v/>
      </c>
      <c r="H11" s="128" t="str">
        <f>IF(H7="","",H7*PI()/200)</f>
        <v/>
      </c>
      <c r="I11" s="47"/>
      <c r="J11" s="47"/>
      <c r="K11" s="47"/>
      <c r="L11" s="47"/>
    </row>
    <row r="12" spans="1:12" s="45" customFormat="1" ht="30" customHeight="1" x14ac:dyDescent="0.55000000000000004">
      <c r="C12" s="195" t="s">
        <v>433</v>
      </c>
      <c r="D12" s="129" t="str">
        <f>IF(D7="","",D11*200/PI())</f>
        <v/>
      </c>
      <c r="E12" s="129" t="str">
        <f>IF(E7="","",E11*200/PI())</f>
        <v/>
      </c>
      <c r="F12" s="129" t="str">
        <f>IF(F7="","",F11*200/PI())</f>
        <v/>
      </c>
      <c r="G12" s="129" t="str">
        <f>IF(G7="","",G11*200/PI())</f>
        <v/>
      </c>
      <c r="H12" s="130" t="str">
        <f>IF(H7="","",H7)</f>
        <v/>
      </c>
      <c r="I12" s="47"/>
      <c r="J12" s="47"/>
      <c r="K12" s="47"/>
      <c r="L12" s="47"/>
    </row>
    <row r="13" spans="1:12" s="45" customFormat="1" ht="30" customHeight="1" x14ac:dyDescent="0.55000000000000004">
      <c r="B13" s="44"/>
      <c r="C13" s="47"/>
      <c r="D13" s="47"/>
      <c r="E13" s="47"/>
      <c r="F13" s="47"/>
      <c r="G13" s="47"/>
      <c r="H13" s="47"/>
      <c r="I13" s="47"/>
      <c r="J13" s="47"/>
      <c r="K13" s="47"/>
      <c r="L13" s="47"/>
    </row>
    <row r="14" spans="1:12" s="45" customFormat="1" ht="30" customHeight="1" x14ac:dyDescent="0.55000000000000004">
      <c r="B14" s="44"/>
      <c r="C14" s="47"/>
      <c r="F14" s="204" t="s">
        <v>690</v>
      </c>
      <c r="G14" s="204"/>
      <c r="H14" s="47"/>
      <c r="I14" s="47"/>
      <c r="J14" s="47"/>
      <c r="K14" s="47"/>
      <c r="L14" s="47"/>
    </row>
    <row r="15" spans="1:12" s="45" customFormat="1" ht="30" customHeight="1" x14ac:dyDescent="0.55000000000000004">
      <c r="B15" s="190"/>
      <c r="C15" s="199" t="s">
        <v>429</v>
      </c>
      <c r="D15" s="199" t="s">
        <v>428</v>
      </c>
      <c r="E15" s="200" t="s">
        <v>325</v>
      </c>
      <c r="G15" s="201"/>
      <c r="H15" s="199" t="s">
        <v>432</v>
      </c>
      <c r="I15" s="199" t="s">
        <v>428</v>
      </c>
      <c r="J15" s="200" t="s">
        <v>325</v>
      </c>
      <c r="K15" s="47"/>
      <c r="L15" s="47"/>
    </row>
    <row r="16" spans="1:12" s="45" customFormat="1" ht="30" customHeight="1" x14ac:dyDescent="0.55000000000000004">
      <c r="B16" s="196"/>
      <c r="C16" s="95"/>
      <c r="D16" s="95"/>
      <c r="E16" s="95"/>
      <c r="G16" s="202"/>
      <c r="H16" s="95"/>
      <c r="I16" s="95"/>
      <c r="J16" s="95">
        <v>9</v>
      </c>
      <c r="K16" s="47"/>
      <c r="L16" s="47"/>
    </row>
    <row r="17" spans="2:12" s="45" customFormat="1" ht="30" customHeight="1" x14ac:dyDescent="0.55000000000000004">
      <c r="B17" s="194" t="s">
        <v>432</v>
      </c>
      <c r="C17" s="127" t="str">
        <f>IF(C16="","",C26)</f>
        <v/>
      </c>
      <c r="D17" s="127" t="str">
        <f>IF(D16="","",D28)</f>
        <v/>
      </c>
      <c r="E17" s="127" t="str">
        <f>IF(E16="","",E30)</f>
        <v/>
      </c>
      <c r="G17" s="203" t="s">
        <v>429</v>
      </c>
      <c r="H17" s="127" t="str">
        <f>IF(H16="","",H27)</f>
        <v/>
      </c>
      <c r="I17" s="127" t="str">
        <f>IF(I16="","",I29)</f>
        <v/>
      </c>
      <c r="J17" s="127">
        <f>IF(J16="","",J31)</f>
        <v>1.6666666666666666E-4</v>
      </c>
      <c r="K17" s="47"/>
      <c r="L17" s="47"/>
    </row>
    <row r="18" spans="2:12" s="45" customFormat="1" ht="30" customHeight="1" x14ac:dyDescent="0.55000000000000004">
      <c r="B18" s="194" t="s">
        <v>428</v>
      </c>
      <c r="C18" s="127" t="str">
        <f>IF(C16="","",C24)</f>
        <v/>
      </c>
      <c r="D18" s="127" t="str">
        <f>IF(D16="","",D26)</f>
        <v/>
      </c>
      <c r="E18" s="127" t="str">
        <f>IF(E16="","",E28)</f>
        <v/>
      </c>
      <c r="G18" s="203" t="s">
        <v>428</v>
      </c>
      <c r="H18" s="127" t="str">
        <f>IF(H16="","",H25)</f>
        <v/>
      </c>
      <c r="I18" s="127" t="str">
        <f>IF(I16="","",I27)</f>
        <v/>
      </c>
      <c r="J18" s="127">
        <f>IF(J16="","",J29)</f>
        <v>0.01</v>
      </c>
      <c r="K18" s="47"/>
      <c r="L18" s="47"/>
    </row>
    <row r="19" spans="2:12" s="45" customFormat="1" ht="30" customHeight="1" x14ac:dyDescent="0.55000000000000004">
      <c r="B19" s="195" t="s">
        <v>325</v>
      </c>
      <c r="C19" s="127" t="str">
        <f>IF(C16="","",C22)</f>
        <v/>
      </c>
      <c r="D19" s="127" t="str">
        <f>IF(D16="","",D24)</f>
        <v/>
      </c>
      <c r="E19" s="127" t="str">
        <f>IF(E16="","",E26)</f>
        <v/>
      </c>
      <c r="G19" s="195" t="s">
        <v>325</v>
      </c>
      <c r="H19" s="127" t="str">
        <f>IF(H16="","",H23)</f>
        <v/>
      </c>
      <c r="I19" s="127" t="str">
        <f>IF(I16="","",I25)</f>
        <v/>
      </c>
      <c r="J19" s="127">
        <f>IF(J16="","",J27)</f>
        <v>0.6</v>
      </c>
    </row>
    <row r="20" spans="2:12" s="45" customFormat="1" x14ac:dyDescent="0.55000000000000004"/>
    <row r="21" spans="2:12" s="45" customFormat="1" hidden="1" x14ac:dyDescent="0.55000000000000004">
      <c r="C21" s="45" t="s">
        <v>325</v>
      </c>
    </row>
    <row r="22" spans="2:12" s="45" customFormat="1" hidden="1" x14ac:dyDescent="0.55000000000000004">
      <c r="C22" s="45">
        <f>C24*60</f>
        <v>0</v>
      </c>
      <c r="H22" s="45" t="s">
        <v>325</v>
      </c>
    </row>
    <row r="23" spans="2:12" hidden="1" x14ac:dyDescent="0.55000000000000004">
      <c r="C23" s="45" t="s">
        <v>428</v>
      </c>
      <c r="D23" s="45" t="s">
        <v>325</v>
      </c>
      <c r="E23" s="45"/>
      <c r="H23" s="37">
        <f>H25*60</f>
        <v>0</v>
      </c>
    </row>
    <row r="24" spans="2:12" hidden="1" x14ac:dyDescent="0.55000000000000004">
      <c r="C24" s="37">
        <f>C26*60</f>
        <v>0</v>
      </c>
      <c r="D24" s="37">
        <f>D26*60</f>
        <v>0</v>
      </c>
      <c r="H24" s="37" t="s">
        <v>428</v>
      </c>
      <c r="I24" s="37" t="s">
        <v>325</v>
      </c>
    </row>
    <row r="25" spans="2:12" hidden="1" x14ac:dyDescent="0.55000000000000004">
      <c r="C25" s="45" t="s">
        <v>432</v>
      </c>
      <c r="D25" s="45" t="s">
        <v>428</v>
      </c>
      <c r="E25" s="45" t="s">
        <v>325</v>
      </c>
      <c r="H25" s="37">
        <f>H16*4</f>
        <v>0</v>
      </c>
      <c r="I25" s="37">
        <f>I16*4</f>
        <v>0</v>
      </c>
    </row>
    <row r="26" spans="2:12" hidden="1" x14ac:dyDescent="0.55000000000000004">
      <c r="C26" s="45">
        <f>IF(C16="",0,C16*15)</f>
        <v>0</v>
      </c>
      <c r="D26" s="45">
        <f>IF(D16="",0,D16*15)</f>
        <v>0</v>
      </c>
      <c r="E26" s="45">
        <f>IF(E16="",0,E28*60)</f>
        <v>0</v>
      </c>
      <c r="H26" s="37" t="s">
        <v>429</v>
      </c>
      <c r="I26" s="37" t="s">
        <v>428</v>
      </c>
      <c r="J26" s="37" t="s">
        <v>325</v>
      </c>
    </row>
    <row r="27" spans="2:12" hidden="1" x14ac:dyDescent="0.55000000000000004">
      <c r="D27" s="37" t="s">
        <v>432</v>
      </c>
      <c r="E27" s="37" t="s">
        <v>428</v>
      </c>
      <c r="H27" s="37">
        <f>H25/60</f>
        <v>0</v>
      </c>
      <c r="I27" s="37">
        <f>I25/60</f>
        <v>0</v>
      </c>
      <c r="J27" s="37">
        <f>J16*4/60</f>
        <v>0.6</v>
      </c>
    </row>
    <row r="28" spans="2:12" hidden="1" x14ac:dyDescent="0.55000000000000004">
      <c r="D28" s="45">
        <f>IF(D16="",0,D16*0.25)</f>
        <v>0</v>
      </c>
      <c r="E28" s="45">
        <f>IF(E16="",0,E16*0.25)</f>
        <v>0</v>
      </c>
      <c r="I28" s="37" t="s">
        <v>429</v>
      </c>
      <c r="J28" s="37" t="s">
        <v>428</v>
      </c>
    </row>
    <row r="29" spans="2:12" hidden="1" x14ac:dyDescent="0.55000000000000004">
      <c r="E29" s="37" t="s">
        <v>432</v>
      </c>
      <c r="I29" s="37">
        <f>I27/60</f>
        <v>0</v>
      </c>
      <c r="J29" s="37">
        <f>J27/60</f>
        <v>0.01</v>
      </c>
    </row>
    <row r="30" spans="2:12" hidden="1" x14ac:dyDescent="0.55000000000000004">
      <c r="E30" s="45">
        <f>IF(E16="",0,E28/60)</f>
        <v>0</v>
      </c>
      <c r="J30" s="37" t="s">
        <v>429</v>
      </c>
    </row>
    <row r="31" spans="2:12" hidden="1" x14ac:dyDescent="0.55000000000000004">
      <c r="J31" s="37">
        <f>J29/60</f>
        <v>1.6666666666666666E-4</v>
      </c>
    </row>
  </sheetData>
  <sheetProtection sheet="1" objects="1" scenarios="1"/>
  <mergeCells count="2">
    <mergeCell ref="F4:G4"/>
    <mergeCell ref="F14:G14"/>
  </mergeCells>
  <hyperlinks>
    <hyperlink ref="A1" location="'Spis treści'!A1" display="'Spis treści'!A1" xr:uid="{00000000-0004-0000-0B00-000000000000}"/>
  </hyperlinks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6"/>
  <dimension ref="A1:F21"/>
  <sheetViews>
    <sheetView workbookViewId="0">
      <selection activeCell="A3" sqref="A3"/>
    </sheetView>
  </sheetViews>
  <sheetFormatPr defaultColWidth="20.71875" defaultRowHeight="19" customHeight="1" x14ac:dyDescent="0.6"/>
  <cols>
    <col min="1" max="1" width="5" style="7" customWidth="1"/>
    <col min="2" max="4" width="15.71875" style="7" customWidth="1"/>
    <col min="5" max="5" width="34.1640625" style="8" customWidth="1"/>
    <col min="6" max="6" width="52.1640625" style="7" customWidth="1"/>
    <col min="7" max="7" width="37.5546875" style="7" customWidth="1"/>
    <col min="8" max="16384" width="20.71875" style="7"/>
  </cols>
  <sheetData>
    <row r="1" spans="1:6" s="76" customFormat="1" ht="17.399999999999999" x14ac:dyDescent="0.55000000000000004">
      <c r="A1" s="75" t="s">
        <v>27</v>
      </c>
    </row>
    <row r="2" spans="1:6" s="76" customFormat="1" ht="17.399999999999999" x14ac:dyDescent="0.55000000000000004"/>
    <row r="3" spans="1:6" s="76" customFormat="1" ht="19.8" x14ac:dyDescent="0.65">
      <c r="A3" s="74" t="s">
        <v>150</v>
      </c>
    </row>
    <row r="5" spans="1:6" ht="19" customHeight="1" x14ac:dyDescent="0.5">
      <c r="B5" s="205" t="s">
        <v>151</v>
      </c>
      <c r="C5" s="206" t="s">
        <v>152</v>
      </c>
      <c r="D5" s="206" t="s">
        <v>153</v>
      </c>
      <c r="E5" s="207" t="s">
        <v>154</v>
      </c>
      <c r="F5" s="208" t="s">
        <v>186</v>
      </c>
    </row>
    <row r="6" spans="1:6" ht="18.75" customHeight="1" x14ac:dyDescent="0.5">
      <c r="B6" s="209" t="s">
        <v>155</v>
      </c>
      <c r="C6" s="210" t="s">
        <v>53</v>
      </c>
      <c r="D6" s="210" t="s">
        <v>738</v>
      </c>
      <c r="E6" s="211">
        <v>1E+18</v>
      </c>
      <c r="F6" s="212" t="s">
        <v>185</v>
      </c>
    </row>
    <row r="7" spans="1:6" ht="19" customHeight="1" x14ac:dyDescent="0.5">
      <c r="B7" s="209" t="s">
        <v>156</v>
      </c>
      <c r="C7" s="210" t="s">
        <v>171</v>
      </c>
      <c r="D7" s="210" t="s">
        <v>739</v>
      </c>
      <c r="E7" s="211">
        <v>1000000000000000</v>
      </c>
      <c r="F7" s="212"/>
    </row>
    <row r="8" spans="1:6" ht="19" customHeight="1" x14ac:dyDescent="0.5">
      <c r="B8" s="209" t="s">
        <v>157</v>
      </c>
      <c r="C8" s="210" t="s">
        <v>172</v>
      </c>
      <c r="D8" s="210" t="s">
        <v>740</v>
      </c>
      <c r="E8" s="211">
        <v>1000000000000</v>
      </c>
      <c r="F8" s="212"/>
    </row>
    <row r="9" spans="1:6" ht="19" customHeight="1" x14ac:dyDescent="0.5">
      <c r="B9" s="209" t="s">
        <v>158</v>
      </c>
      <c r="C9" s="210" t="s">
        <v>173</v>
      </c>
      <c r="D9" s="210" t="s">
        <v>741</v>
      </c>
      <c r="E9" s="211">
        <v>1000000000</v>
      </c>
      <c r="F9" s="212"/>
    </row>
    <row r="10" spans="1:6" ht="19" customHeight="1" x14ac:dyDescent="0.5">
      <c r="B10" s="209" t="s">
        <v>159</v>
      </c>
      <c r="C10" s="210" t="s">
        <v>174</v>
      </c>
      <c r="D10" s="210" t="s">
        <v>742</v>
      </c>
      <c r="E10" s="211">
        <v>1000000</v>
      </c>
      <c r="F10" s="212"/>
    </row>
    <row r="11" spans="1:6" ht="19" customHeight="1" x14ac:dyDescent="0.5">
      <c r="B11" s="209" t="s">
        <v>160</v>
      </c>
      <c r="C11" s="210" t="s">
        <v>175</v>
      </c>
      <c r="D11" s="210" t="s">
        <v>743</v>
      </c>
      <c r="E11" s="211">
        <v>1000</v>
      </c>
      <c r="F11" s="212"/>
    </row>
    <row r="12" spans="1:6" ht="19" customHeight="1" x14ac:dyDescent="0.5">
      <c r="B12" s="209" t="s">
        <v>161</v>
      </c>
      <c r="C12" s="210" t="s">
        <v>176</v>
      </c>
      <c r="D12" s="210" t="s">
        <v>744</v>
      </c>
      <c r="E12" s="211">
        <v>100</v>
      </c>
      <c r="F12" s="212"/>
    </row>
    <row r="13" spans="1:6" ht="19" customHeight="1" x14ac:dyDescent="0.5">
      <c r="B13" s="209" t="s">
        <v>162</v>
      </c>
      <c r="C13" s="210" t="s">
        <v>177</v>
      </c>
      <c r="D13" s="210" t="s">
        <v>745</v>
      </c>
      <c r="E13" s="211">
        <v>10</v>
      </c>
      <c r="F13" s="212"/>
    </row>
    <row r="14" spans="1:6" ht="19" customHeight="1" x14ac:dyDescent="0.5">
      <c r="B14" s="209" t="s">
        <v>163</v>
      </c>
      <c r="C14" s="210" t="s">
        <v>178</v>
      </c>
      <c r="D14" s="210" t="s">
        <v>746</v>
      </c>
      <c r="E14" s="213">
        <v>0.1</v>
      </c>
      <c r="F14" s="212"/>
    </row>
    <row r="15" spans="1:6" ht="19" customHeight="1" x14ac:dyDescent="0.5">
      <c r="B15" s="209" t="s">
        <v>164</v>
      </c>
      <c r="C15" s="210" t="s">
        <v>179</v>
      </c>
      <c r="D15" s="210" t="s">
        <v>747</v>
      </c>
      <c r="E15" s="214">
        <v>0.01</v>
      </c>
      <c r="F15" s="212"/>
    </row>
    <row r="16" spans="1:6" ht="19" customHeight="1" x14ac:dyDescent="0.5">
      <c r="B16" s="209" t="s">
        <v>165</v>
      </c>
      <c r="C16" s="210" t="s">
        <v>180</v>
      </c>
      <c r="D16" s="210" t="s">
        <v>748</v>
      </c>
      <c r="E16" s="215">
        <v>1E-3</v>
      </c>
      <c r="F16" s="212"/>
    </row>
    <row r="17" spans="2:6" ht="19" customHeight="1" x14ac:dyDescent="0.5">
      <c r="B17" s="209" t="s">
        <v>166</v>
      </c>
      <c r="C17" s="216" t="s">
        <v>180</v>
      </c>
      <c r="D17" s="210" t="s">
        <v>749</v>
      </c>
      <c r="E17" s="217">
        <v>9.9999999999999995E-7</v>
      </c>
      <c r="F17" s="212"/>
    </row>
    <row r="18" spans="2:6" ht="19" customHeight="1" x14ac:dyDescent="0.5">
      <c r="B18" s="209" t="s">
        <v>167</v>
      </c>
      <c r="C18" s="210" t="s">
        <v>181</v>
      </c>
      <c r="D18" s="210" t="s">
        <v>750</v>
      </c>
      <c r="E18" s="218">
        <v>1.0000000000000001E-9</v>
      </c>
      <c r="F18" s="212"/>
    </row>
    <row r="19" spans="2:6" ht="19" customHeight="1" x14ac:dyDescent="0.5">
      <c r="B19" s="209" t="s">
        <v>168</v>
      </c>
      <c r="C19" s="210" t="s">
        <v>182</v>
      </c>
      <c r="D19" s="210" t="s">
        <v>751</v>
      </c>
      <c r="E19" s="219">
        <v>9.9999999999999998E-13</v>
      </c>
      <c r="F19" s="212"/>
    </row>
    <row r="20" spans="2:6" ht="19" customHeight="1" x14ac:dyDescent="0.5">
      <c r="B20" s="209" t="s">
        <v>169</v>
      </c>
      <c r="C20" s="210" t="s">
        <v>183</v>
      </c>
      <c r="D20" s="210" t="s">
        <v>752</v>
      </c>
      <c r="E20" s="220">
        <v>1.0000000000000001E-15</v>
      </c>
      <c r="F20" s="212"/>
    </row>
    <row r="21" spans="2:6" ht="19" customHeight="1" x14ac:dyDescent="0.5">
      <c r="B21" s="221" t="s">
        <v>170</v>
      </c>
      <c r="C21" s="222" t="s">
        <v>184</v>
      </c>
      <c r="D21" s="222" t="s">
        <v>753</v>
      </c>
      <c r="E21" s="223">
        <v>1.0000000000000001E-18</v>
      </c>
      <c r="F21" s="224"/>
    </row>
  </sheetData>
  <sheetProtection sheet="1" objects="1" scenarios="1"/>
  <mergeCells count="1">
    <mergeCell ref="F6:F21"/>
  </mergeCells>
  <hyperlinks>
    <hyperlink ref="A1" location="'Spis treści'!A1" display="'Spis treści'!A1" xr:uid="{00000000-0004-0000-0C00-000000000000}"/>
  </hyperlink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7"/>
  <dimension ref="A1:G45"/>
  <sheetViews>
    <sheetView workbookViewId="0">
      <selection activeCell="A3" sqref="A3"/>
    </sheetView>
  </sheetViews>
  <sheetFormatPr defaultColWidth="9.1640625" defaultRowHeight="15" x14ac:dyDescent="0.4"/>
  <cols>
    <col min="1" max="1" width="2.83203125" style="1" customWidth="1"/>
    <col min="2" max="2" width="9.83203125" style="1" customWidth="1"/>
    <col min="3" max="3" width="36.1640625" style="1" customWidth="1"/>
    <col min="4" max="4" width="1.1640625" style="1" customWidth="1"/>
    <col min="5" max="5" width="29.83203125" style="1" customWidth="1"/>
    <col min="6" max="6" width="12.71875" style="1" customWidth="1"/>
    <col min="7" max="7" width="37" style="1" customWidth="1"/>
    <col min="8" max="16384" width="9.1640625" style="1"/>
  </cols>
  <sheetData>
    <row r="1" spans="1:7" s="76" customFormat="1" ht="17.399999999999999" x14ac:dyDescent="0.55000000000000004">
      <c r="A1" s="75" t="s">
        <v>27</v>
      </c>
    </row>
    <row r="2" spans="1:7" s="76" customFormat="1" ht="17.399999999999999" x14ac:dyDescent="0.55000000000000004"/>
    <row r="3" spans="1:7" s="76" customFormat="1" ht="19.8" x14ac:dyDescent="0.65">
      <c r="A3" s="74" t="s">
        <v>602</v>
      </c>
    </row>
    <row r="6" spans="1:7" s="35" customFormat="1" ht="24.75" customHeight="1" x14ac:dyDescent="0.4">
      <c r="B6" s="242" t="s">
        <v>603</v>
      </c>
      <c r="C6" s="242"/>
      <c r="D6" s="243"/>
      <c r="E6" s="244"/>
      <c r="F6" s="242" t="s">
        <v>608</v>
      </c>
      <c r="G6" s="242"/>
    </row>
    <row r="7" spans="1:7" x14ac:dyDescent="0.4">
      <c r="B7" s="248" t="s">
        <v>605</v>
      </c>
      <c r="C7" s="249" t="s">
        <v>606</v>
      </c>
      <c r="D7" s="249"/>
      <c r="E7" s="249" t="s">
        <v>604</v>
      </c>
      <c r="F7" s="249" t="s">
        <v>605</v>
      </c>
      <c r="G7" s="250" t="s">
        <v>606</v>
      </c>
    </row>
    <row r="8" spans="1:7" x14ac:dyDescent="0.4">
      <c r="B8" s="225" t="s">
        <v>182</v>
      </c>
      <c r="C8" s="226">
        <v>3.1415926536000001</v>
      </c>
      <c r="D8" s="226"/>
      <c r="E8" s="227" t="s">
        <v>617</v>
      </c>
      <c r="F8" s="227" t="s">
        <v>173</v>
      </c>
      <c r="G8" s="228" t="s">
        <v>754</v>
      </c>
    </row>
    <row r="9" spans="1:7" ht="24.6" x14ac:dyDescent="0.4">
      <c r="B9" s="229" t="s">
        <v>755</v>
      </c>
      <c r="C9" s="226">
        <v>0.3183098862</v>
      </c>
      <c r="D9" s="226"/>
      <c r="E9" s="227" t="s">
        <v>618</v>
      </c>
      <c r="F9" s="227" t="s">
        <v>638</v>
      </c>
      <c r="G9" s="228" t="s">
        <v>756</v>
      </c>
    </row>
    <row r="10" spans="1:7" x14ac:dyDescent="0.4">
      <c r="B10" s="229" t="s">
        <v>757</v>
      </c>
      <c r="C10" s="226">
        <v>6.2831853072000001</v>
      </c>
      <c r="D10" s="226"/>
      <c r="E10" s="227" t="s">
        <v>619</v>
      </c>
      <c r="F10" s="230" t="s">
        <v>758</v>
      </c>
      <c r="G10" s="228" t="s">
        <v>759</v>
      </c>
    </row>
    <row r="11" spans="1:7" x14ac:dyDescent="0.4">
      <c r="B11" s="225" t="s">
        <v>615</v>
      </c>
      <c r="C11" s="226">
        <v>1.7724538509000001</v>
      </c>
      <c r="D11" s="226"/>
      <c r="E11" s="227" t="s">
        <v>620</v>
      </c>
      <c r="F11" s="230" t="s">
        <v>760</v>
      </c>
      <c r="G11" s="228" t="s">
        <v>761</v>
      </c>
    </row>
    <row r="12" spans="1:7" x14ac:dyDescent="0.4">
      <c r="B12" s="225" t="s">
        <v>616</v>
      </c>
      <c r="C12" s="226">
        <v>0.56418958354000004</v>
      </c>
      <c r="D12" s="226"/>
      <c r="E12" s="227" t="s">
        <v>621</v>
      </c>
      <c r="F12" s="230" t="s">
        <v>762</v>
      </c>
      <c r="G12" s="228" t="s">
        <v>763</v>
      </c>
    </row>
    <row r="13" spans="1:7" x14ac:dyDescent="0.4">
      <c r="B13" s="231" t="s">
        <v>607</v>
      </c>
      <c r="C13" s="226">
        <v>2.7182818284999999</v>
      </c>
      <c r="D13" s="226"/>
      <c r="E13" s="227" t="s">
        <v>622</v>
      </c>
      <c r="F13" s="227" t="s">
        <v>179</v>
      </c>
      <c r="G13" s="228" t="s">
        <v>764</v>
      </c>
    </row>
    <row r="14" spans="1:7" ht="24.6" x14ac:dyDescent="0.4">
      <c r="B14" s="229" t="s">
        <v>765</v>
      </c>
      <c r="C14" s="226">
        <v>0.36787951470000002</v>
      </c>
      <c r="D14" s="226"/>
      <c r="E14" s="227" t="s">
        <v>623</v>
      </c>
      <c r="F14" s="227" t="s">
        <v>45</v>
      </c>
      <c r="G14" s="228" t="s">
        <v>766</v>
      </c>
    </row>
    <row r="15" spans="1:7" ht="24.6" x14ac:dyDescent="0.4">
      <c r="B15" s="229" t="s">
        <v>767</v>
      </c>
      <c r="C15" s="226">
        <v>0.43429448189999997</v>
      </c>
      <c r="D15" s="226"/>
      <c r="E15" s="227" t="s">
        <v>624</v>
      </c>
      <c r="F15" s="227" t="s">
        <v>639</v>
      </c>
      <c r="G15" s="228" t="s">
        <v>768</v>
      </c>
    </row>
    <row r="16" spans="1:7" ht="24.6" x14ac:dyDescent="0.4">
      <c r="B16" s="229" t="s">
        <v>769</v>
      </c>
      <c r="C16" s="226">
        <v>2.3025850929999998</v>
      </c>
      <c r="D16" s="226"/>
      <c r="E16" s="227" t="s">
        <v>625</v>
      </c>
      <c r="F16" s="227" t="s">
        <v>770</v>
      </c>
      <c r="G16" s="228" t="s">
        <v>771</v>
      </c>
    </row>
    <row r="17" spans="2:7" x14ac:dyDescent="0.4">
      <c r="B17" s="229" t="s">
        <v>609</v>
      </c>
      <c r="C17" s="226" t="s">
        <v>610</v>
      </c>
      <c r="D17" s="226"/>
      <c r="E17" s="227" t="s">
        <v>626</v>
      </c>
      <c r="F17" s="227" t="s">
        <v>772</v>
      </c>
      <c r="G17" s="228" t="s">
        <v>773</v>
      </c>
    </row>
    <row r="18" spans="2:7" x14ac:dyDescent="0.4">
      <c r="B18" s="229" t="s">
        <v>611</v>
      </c>
      <c r="C18" s="232">
        <v>1.745E-2</v>
      </c>
      <c r="D18" s="232"/>
      <c r="E18" s="227" t="s">
        <v>627</v>
      </c>
      <c r="F18" s="227" t="s">
        <v>175</v>
      </c>
      <c r="G18" s="228" t="s">
        <v>774</v>
      </c>
    </row>
    <row r="19" spans="2:7" x14ac:dyDescent="0.4">
      <c r="B19" s="225" t="s">
        <v>775</v>
      </c>
      <c r="C19" s="232">
        <v>1.41421</v>
      </c>
      <c r="D19" s="232"/>
      <c r="E19" s="227" t="s">
        <v>628</v>
      </c>
      <c r="F19" s="227" t="s">
        <v>640</v>
      </c>
      <c r="G19" s="228" t="s">
        <v>776</v>
      </c>
    </row>
    <row r="20" spans="2:7" x14ac:dyDescent="0.4">
      <c r="B20" s="233" t="s">
        <v>777</v>
      </c>
      <c r="C20" s="232">
        <v>0.70711000000000002</v>
      </c>
      <c r="D20" s="232"/>
      <c r="E20" s="227" t="s">
        <v>629</v>
      </c>
      <c r="F20" s="234" t="s">
        <v>607</v>
      </c>
      <c r="G20" s="228" t="s">
        <v>778</v>
      </c>
    </row>
    <row r="21" spans="2:7" x14ac:dyDescent="0.4">
      <c r="B21" s="225" t="s">
        <v>612</v>
      </c>
      <c r="C21" s="227">
        <v>1.7320500000000001</v>
      </c>
      <c r="D21" s="227"/>
      <c r="E21" s="227" t="s">
        <v>630</v>
      </c>
      <c r="F21" s="227" t="s">
        <v>779</v>
      </c>
      <c r="G21" s="228" t="s">
        <v>780</v>
      </c>
    </row>
    <row r="22" spans="2:7" x14ac:dyDescent="0.4">
      <c r="B22" s="233" t="s">
        <v>781</v>
      </c>
      <c r="C22" s="227">
        <v>0.57735000000000003</v>
      </c>
      <c r="D22" s="227"/>
      <c r="E22" s="227" t="s">
        <v>631</v>
      </c>
      <c r="F22" s="227" t="s">
        <v>782</v>
      </c>
      <c r="G22" s="228" t="s">
        <v>783</v>
      </c>
    </row>
    <row r="23" spans="2:7" x14ac:dyDescent="0.4">
      <c r="B23" s="225" t="s">
        <v>613</v>
      </c>
      <c r="C23" s="227">
        <v>2.2360699999999998</v>
      </c>
      <c r="D23" s="227"/>
      <c r="E23" s="227" t="s">
        <v>632</v>
      </c>
      <c r="F23" s="227" t="s">
        <v>784</v>
      </c>
      <c r="G23" s="228" t="s">
        <v>785</v>
      </c>
    </row>
    <row r="24" spans="2:7" ht="24.6" x14ac:dyDescent="0.4">
      <c r="B24" s="233" t="s">
        <v>786</v>
      </c>
      <c r="C24" s="227">
        <v>0.44721</v>
      </c>
      <c r="D24" s="227"/>
      <c r="E24" s="227" t="s">
        <v>641</v>
      </c>
      <c r="F24" s="234" t="s">
        <v>787</v>
      </c>
      <c r="G24" s="228" t="s">
        <v>788</v>
      </c>
    </row>
    <row r="25" spans="2:7" ht="24.6" x14ac:dyDescent="0.4">
      <c r="B25" s="225" t="s">
        <v>614</v>
      </c>
      <c r="C25" s="227">
        <v>3.16228</v>
      </c>
      <c r="D25" s="227"/>
      <c r="E25" s="227" t="s">
        <v>642</v>
      </c>
      <c r="F25" s="235" t="s">
        <v>789</v>
      </c>
      <c r="G25" s="228" t="s">
        <v>790</v>
      </c>
    </row>
    <row r="26" spans="2:7" x14ac:dyDescent="0.4">
      <c r="B26" s="233" t="s">
        <v>791</v>
      </c>
      <c r="C26" s="227">
        <v>0.31623000000000001</v>
      </c>
      <c r="D26" s="227"/>
      <c r="E26" s="227" t="s">
        <v>633</v>
      </c>
      <c r="F26" s="227" t="s">
        <v>381</v>
      </c>
      <c r="G26" s="228" t="s">
        <v>792</v>
      </c>
    </row>
    <row r="27" spans="2:7" s="4" customFormat="1" x14ac:dyDescent="0.4">
      <c r="B27" s="229"/>
      <c r="C27" s="227"/>
      <c r="D27" s="227"/>
      <c r="E27" s="227" t="s">
        <v>634</v>
      </c>
      <c r="F27" s="227" t="s">
        <v>176</v>
      </c>
      <c r="G27" s="228" t="s">
        <v>793</v>
      </c>
    </row>
    <row r="28" spans="2:7" s="4" customFormat="1" x14ac:dyDescent="0.4">
      <c r="B28" s="229"/>
      <c r="C28" s="227"/>
      <c r="D28" s="227"/>
      <c r="E28" s="227" t="s">
        <v>635</v>
      </c>
      <c r="F28" s="227" t="s">
        <v>643</v>
      </c>
      <c r="G28" s="228" t="s">
        <v>794</v>
      </c>
    </row>
    <row r="29" spans="2:7" s="4" customFormat="1" x14ac:dyDescent="0.4">
      <c r="B29" s="236"/>
      <c r="C29" s="237"/>
      <c r="D29" s="227"/>
      <c r="E29" s="227" t="s">
        <v>636</v>
      </c>
      <c r="F29" s="230" t="s">
        <v>795</v>
      </c>
      <c r="G29" s="228" t="s">
        <v>796</v>
      </c>
    </row>
    <row r="30" spans="2:7" s="4" customFormat="1" x14ac:dyDescent="0.4">
      <c r="B30" s="238"/>
      <c r="C30" s="239"/>
      <c r="D30" s="237"/>
      <c r="E30" s="237" t="s">
        <v>637</v>
      </c>
      <c r="F30" s="240" t="s">
        <v>797</v>
      </c>
      <c r="G30" s="241" t="s">
        <v>798</v>
      </c>
    </row>
    <row r="31" spans="2:7" s="4" customFormat="1" x14ac:dyDescent="0.4"/>
    <row r="32" spans="2:7" s="4" customFormat="1" x14ac:dyDescent="0.4">
      <c r="B32" s="1"/>
      <c r="C32" s="245" t="s">
        <v>0</v>
      </c>
      <c r="D32" s="245"/>
      <c r="E32" s="245"/>
    </row>
    <row r="33" spans="2:7" x14ac:dyDescent="0.4">
      <c r="F33" s="4"/>
      <c r="G33" s="4"/>
    </row>
    <row r="34" spans="2:7" x14ac:dyDescent="0.4">
      <c r="C34" s="248" t="s">
        <v>604</v>
      </c>
      <c r="D34" s="249"/>
      <c r="E34" s="250" t="s">
        <v>606</v>
      </c>
      <c r="F34" s="30"/>
      <c r="G34" s="4"/>
    </row>
    <row r="35" spans="2:7" x14ac:dyDescent="0.4">
      <c r="B35" s="4"/>
      <c r="C35" s="229" t="s">
        <v>1</v>
      </c>
      <c r="D35" s="230"/>
      <c r="E35" s="228" t="s">
        <v>12</v>
      </c>
      <c r="F35" s="30"/>
      <c r="G35" s="4"/>
    </row>
    <row r="36" spans="2:7" x14ac:dyDescent="0.4">
      <c r="B36" s="4"/>
      <c r="C36" s="229" t="s">
        <v>2</v>
      </c>
      <c r="D36" s="230"/>
      <c r="E36" s="228" t="s">
        <v>13</v>
      </c>
      <c r="F36" s="30"/>
      <c r="G36" s="4"/>
    </row>
    <row r="37" spans="2:7" x14ac:dyDescent="0.4">
      <c r="B37" s="4"/>
      <c r="C37" s="229" t="s">
        <v>3</v>
      </c>
      <c r="D37" s="230"/>
      <c r="E37" s="228" t="s">
        <v>14</v>
      </c>
      <c r="F37" s="30"/>
      <c r="G37" s="4"/>
    </row>
    <row r="38" spans="2:7" x14ac:dyDescent="0.4">
      <c r="B38" s="4"/>
      <c r="C38" s="229" t="s">
        <v>8</v>
      </c>
      <c r="D38" s="230"/>
      <c r="E38" s="228" t="s">
        <v>15</v>
      </c>
      <c r="F38" s="30"/>
      <c r="G38" s="4"/>
    </row>
    <row r="39" spans="2:7" x14ac:dyDescent="0.4">
      <c r="B39" s="4"/>
      <c r="C39" s="229" t="s">
        <v>4</v>
      </c>
      <c r="D39" s="230"/>
      <c r="E39" s="228" t="s">
        <v>799</v>
      </c>
      <c r="F39" s="30"/>
      <c r="G39" s="4"/>
    </row>
    <row r="40" spans="2:7" x14ac:dyDescent="0.4">
      <c r="B40" s="4"/>
      <c r="C40" s="229" t="s">
        <v>5</v>
      </c>
      <c r="D40" s="230"/>
      <c r="E40" s="228" t="s">
        <v>800</v>
      </c>
      <c r="F40" s="30"/>
      <c r="G40" s="4"/>
    </row>
    <row r="41" spans="2:7" x14ac:dyDescent="0.4">
      <c r="B41" s="4"/>
      <c r="C41" s="229" t="s">
        <v>6</v>
      </c>
      <c r="D41" s="230"/>
      <c r="E41" s="228" t="s">
        <v>16</v>
      </c>
      <c r="F41" s="30"/>
      <c r="G41" s="4"/>
    </row>
    <row r="42" spans="2:7" x14ac:dyDescent="0.4">
      <c r="B42" s="4"/>
      <c r="C42" s="229" t="s">
        <v>7</v>
      </c>
      <c r="D42" s="230"/>
      <c r="E42" s="228" t="s">
        <v>17</v>
      </c>
      <c r="F42" s="30"/>
      <c r="G42" s="4"/>
    </row>
    <row r="43" spans="2:7" x14ac:dyDescent="0.4">
      <c r="B43" s="4"/>
      <c r="C43" s="229" t="s">
        <v>9</v>
      </c>
      <c r="D43" s="230"/>
      <c r="E43" s="228" t="s">
        <v>18</v>
      </c>
      <c r="F43" s="30"/>
      <c r="G43" s="4"/>
    </row>
    <row r="44" spans="2:7" x14ac:dyDescent="0.4">
      <c r="B44" s="4"/>
      <c r="C44" s="229" t="s">
        <v>10</v>
      </c>
      <c r="D44" s="230"/>
      <c r="E44" s="228" t="s">
        <v>801</v>
      </c>
      <c r="F44" s="30"/>
      <c r="G44" s="4"/>
    </row>
    <row r="45" spans="2:7" ht="26.1" x14ac:dyDescent="0.4">
      <c r="B45" s="4"/>
      <c r="C45" s="229" t="s">
        <v>11</v>
      </c>
      <c r="D45" s="230"/>
      <c r="E45" s="228" t="s">
        <v>802</v>
      </c>
      <c r="F45" s="4"/>
      <c r="G45" s="4"/>
    </row>
  </sheetData>
  <sheetProtection sheet="1" objects="1" scenarios="1"/>
  <mergeCells count="3">
    <mergeCell ref="B6:C6"/>
    <mergeCell ref="F6:G6"/>
    <mergeCell ref="C32:E32"/>
  </mergeCells>
  <hyperlinks>
    <hyperlink ref="A1" location="'Spis treści'!A1" display="'Spis treści'!A1" xr:uid="{00000000-0004-0000-0D00-000000000000}"/>
  </hyperlinks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8"/>
  <dimension ref="A1:K21"/>
  <sheetViews>
    <sheetView workbookViewId="0">
      <selection activeCell="B3" sqref="B3"/>
    </sheetView>
  </sheetViews>
  <sheetFormatPr defaultColWidth="9.1640625" defaultRowHeight="12.3" x14ac:dyDescent="0.4"/>
  <cols>
    <col min="1" max="1" width="2.27734375" style="10" customWidth="1"/>
    <col min="2" max="2" width="10" style="9" customWidth="1"/>
    <col min="3" max="3" width="9.1640625" style="10"/>
    <col min="4" max="4" width="10" style="10" customWidth="1"/>
    <col min="5" max="6" width="9.1640625" style="10"/>
    <col min="7" max="7" width="45.44140625" style="10" customWidth="1"/>
    <col min="8" max="8" width="8.71875" style="10" customWidth="1"/>
    <col min="9" max="9" width="13.44140625" style="10" customWidth="1"/>
    <col min="10" max="10" width="11.83203125" style="10" customWidth="1"/>
    <col min="11" max="11" width="11.1640625" style="10" customWidth="1"/>
    <col min="12" max="16384" width="9.1640625" style="10"/>
  </cols>
  <sheetData>
    <row r="1" spans="1:11" s="76" customFormat="1" ht="17.399999999999999" x14ac:dyDescent="0.55000000000000004">
      <c r="A1" s="75" t="s">
        <v>27</v>
      </c>
    </row>
    <row r="2" spans="1:11" s="76" customFormat="1" ht="17.399999999999999" x14ac:dyDescent="0.55000000000000004"/>
    <row r="3" spans="1:11" s="76" customFormat="1" ht="19.8" x14ac:dyDescent="0.65">
      <c r="A3" s="74" t="s">
        <v>187</v>
      </c>
    </row>
    <row r="6" spans="1:11" s="9" customFormat="1" ht="52.5" customHeight="1" x14ac:dyDescent="0.4">
      <c r="B6" s="251" t="s">
        <v>192</v>
      </c>
      <c r="C6" s="252" t="s">
        <v>191</v>
      </c>
      <c r="D6" s="252"/>
      <c r="E6" s="252" t="s">
        <v>193</v>
      </c>
      <c r="F6" s="252"/>
      <c r="G6" s="253" t="s">
        <v>188</v>
      </c>
      <c r="H6" s="253" t="s">
        <v>189</v>
      </c>
      <c r="I6" s="253" t="s">
        <v>196</v>
      </c>
      <c r="J6" s="252" t="s">
        <v>190</v>
      </c>
      <c r="K6" s="254"/>
    </row>
    <row r="7" spans="1:11" s="11" customFormat="1" x14ac:dyDescent="0.4">
      <c r="B7" s="255"/>
      <c r="C7" s="256" t="s">
        <v>194</v>
      </c>
      <c r="D7" s="256" t="s">
        <v>195</v>
      </c>
      <c r="E7" s="256" t="s">
        <v>25</v>
      </c>
      <c r="F7" s="256" t="s">
        <v>26</v>
      </c>
      <c r="G7" s="256"/>
      <c r="H7" s="256"/>
      <c r="I7" s="256" t="s">
        <v>180</v>
      </c>
      <c r="J7" s="256" t="s">
        <v>194</v>
      </c>
      <c r="K7" s="257" t="s">
        <v>195</v>
      </c>
    </row>
    <row r="8" spans="1:11" s="6" customFormat="1" ht="15" x14ac:dyDescent="0.4">
      <c r="B8" s="258">
        <v>0</v>
      </c>
      <c r="C8" s="259" t="s">
        <v>197</v>
      </c>
      <c r="D8" s="259" t="s">
        <v>210</v>
      </c>
      <c r="E8" s="259" t="s">
        <v>280</v>
      </c>
      <c r="F8" s="259">
        <v>1</v>
      </c>
      <c r="G8" s="259" t="s">
        <v>236</v>
      </c>
      <c r="H8" s="259">
        <v>0</v>
      </c>
      <c r="I8" s="259">
        <v>0</v>
      </c>
      <c r="J8" s="259" t="s">
        <v>260</v>
      </c>
      <c r="K8" s="260" t="s">
        <v>270</v>
      </c>
    </row>
    <row r="9" spans="1:11" s="6" customFormat="1" ht="36.9" x14ac:dyDescent="0.4">
      <c r="B9" s="258">
        <v>1</v>
      </c>
      <c r="C9" s="259" t="s">
        <v>198</v>
      </c>
      <c r="D9" s="259" t="s">
        <v>211</v>
      </c>
      <c r="E9" s="259" t="s">
        <v>281</v>
      </c>
      <c r="F9" s="261" t="s">
        <v>224</v>
      </c>
      <c r="G9" s="259" t="s">
        <v>237</v>
      </c>
      <c r="H9" s="259">
        <v>1</v>
      </c>
      <c r="I9" s="259" t="s">
        <v>249</v>
      </c>
      <c r="J9" s="259" t="s">
        <v>261</v>
      </c>
      <c r="K9" s="260" t="s">
        <v>271</v>
      </c>
    </row>
    <row r="10" spans="1:11" s="6" customFormat="1" ht="24.6" x14ac:dyDescent="0.4">
      <c r="B10" s="258">
        <v>2</v>
      </c>
      <c r="C10" s="259" t="s">
        <v>199</v>
      </c>
      <c r="D10" s="259" t="s">
        <v>212</v>
      </c>
      <c r="E10" s="259" t="s">
        <v>282</v>
      </c>
      <c r="F10" s="261" t="s">
        <v>225</v>
      </c>
      <c r="G10" s="259" t="s">
        <v>238</v>
      </c>
      <c r="H10" s="262">
        <v>2</v>
      </c>
      <c r="I10" s="259" t="s">
        <v>251</v>
      </c>
      <c r="J10" s="262" t="s">
        <v>262</v>
      </c>
      <c r="K10" s="263" t="s">
        <v>272</v>
      </c>
    </row>
    <row r="11" spans="1:11" s="6" customFormat="1" ht="36.9" x14ac:dyDescent="0.4">
      <c r="B11" s="258">
        <v>3</v>
      </c>
      <c r="C11" s="259" t="s">
        <v>200</v>
      </c>
      <c r="D11" s="259" t="s">
        <v>213</v>
      </c>
      <c r="E11" s="259" t="s">
        <v>283</v>
      </c>
      <c r="F11" s="261" t="s">
        <v>226</v>
      </c>
      <c r="G11" s="259" t="s">
        <v>239</v>
      </c>
      <c r="H11" s="264"/>
      <c r="I11" s="259" t="s">
        <v>250</v>
      </c>
      <c r="J11" s="264"/>
      <c r="K11" s="265"/>
    </row>
    <row r="12" spans="1:11" s="6" customFormat="1" ht="24.6" x14ac:dyDescent="0.4">
      <c r="B12" s="258">
        <v>4</v>
      </c>
      <c r="C12" s="259" t="s">
        <v>201</v>
      </c>
      <c r="D12" s="259" t="s">
        <v>214</v>
      </c>
      <c r="E12" s="259" t="s">
        <v>284</v>
      </c>
      <c r="F12" s="259" t="s">
        <v>227</v>
      </c>
      <c r="G12" s="259" t="s">
        <v>240</v>
      </c>
      <c r="H12" s="259">
        <v>3</v>
      </c>
      <c r="I12" s="259" t="s">
        <v>252</v>
      </c>
      <c r="J12" s="259" t="s">
        <v>263</v>
      </c>
      <c r="K12" s="260" t="s">
        <v>273</v>
      </c>
    </row>
    <row r="13" spans="1:11" s="6" customFormat="1" ht="36.9" x14ac:dyDescent="0.4">
      <c r="B13" s="258">
        <v>5</v>
      </c>
      <c r="C13" s="259" t="s">
        <v>202</v>
      </c>
      <c r="D13" s="259" t="s">
        <v>215</v>
      </c>
      <c r="E13" s="259" t="s">
        <v>285</v>
      </c>
      <c r="F13" s="259" t="s">
        <v>228</v>
      </c>
      <c r="G13" s="259" t="s">
        <v>241</v>
      </c>
      <c r="H13" s="259">
        <v>4</v>
      </c>
      <c r="I13" s="259" t="s">
        <v>253</v>
      </c>
      <c r="J13" s="259" t="s">
        <v>264</v>
      </c>
      <c r="K13" s="260" t="s">
        <v>274</v>
      </c>
    </row>
    <row r="14" spans="1:11" s="6" customFormat="1" ht="36.9" x14ac:dyDescent="0.4">
      <c r="B14" s="258">
        <v>6</v>
      </c>
      <c r="C14" s="259" t="s">
        <v>203</v>
      </c>
      <c r="D14" s="259" t="s">
        <v>216</v>
      </c>
      <c r="E14" s="259" t="s">
        <v>286</v>
      </c>
      <c r="F14" s="259" t="s">
        <v>229</v>
      </c>
      <c r="G14" s="259" t="s">
        <v>242</v>
      </c>
      <c r="H14" s="259">
        <v>5</v>
      </c>
      <c r="I14" s="259" t="s">
        <v>254</v>
      </c>
      <c r="J14" s="259" t="s">
        <v>265</v>
      </c>
      <c r="K14" s="260" t="s">
        <v>275</v>
      </c>
    </row>
    <row r="15" spans="1:11" s="6" customFormat="1" ht="36.9" x14ac:dyDescent="0.4">
      <c r="B15" s="258">
        <v>7</v>
      </c>
      <c r="C15" s="259" t="s">
        <v>204</v>
      </c>
      <c r="D15" s="259" t="s">
        <v>217</v>
      </c>
      <c r="E15" s="259" t="s">
        <v>287</v>
      </c>
      <c r="F15" s="259" t="s">
        <v>230</v>
      </c>
      <c r="G15" s="259" t="s">
        <v>243</v>
      </c>
      <c r="H15" s="259">
        <v>6</v>
      </c>
      <c r="I15" s="259" t="s">
        <v>255</v>
      </c>
      <c r="J15" s="259" t="s">
        <v>266</v>
      </c>
      <c r="K15" s="260" t="s">
        <v>276</v>
      </c>
    </row>
    <row r="16" spans="1:11" s="6" customFormat="1" ht="49.2" x14ac:dyDescent="0.4">
      <c r="B16" s="258">
        <v>8</v>
      </c>
      <c r="C16" s="259" t="s">
        <v>205</v>
      </c>
      <c r="D16" s="259" t="s">
        <v>218</v>
      </c>
      <c r="E16" s="259" t="s">
        <v>288</v>
      </c>
      <c r="F16" s="259" t="s">
        <v>231</v>
      </c>
      <c r="G16" s="259" t="s">
        <v>244</v>
      </c>
      <c r="H16" s="262">
        <v>7</v>
      </c>
      <c r="I16" s="259" t="s">
        <v>256</v>
      </c>
      <c r="J16" s="262" t="s">
        <v>267</v>
      </c>
      <c r="K16" s="263" t="s">
        <v>277</v>
      </c>
    </row>
    <row r="17" spans="2:11" s="6" customFormat="1" ht="36.9" x14ac:dyDescent="0.4">
      <c r="B17" s="258">
        <v>9</v>
      </c>
      <c r="C17" s="259" t="s">
        <v>206</v>
      </c>
      <c r="D17" s="259" t="s">
        <v>219</v>
      </c>
      <c r="E17" s="259" t="s">
        <v>289</v>
      </c>
      <c r="F17" s="259" t="s">
        <v>232</v>
      </c>
      <c r="G17" s="259" t="s">
        <v>245</v>
      </c>
      <c r="H17" s="264"/>
      <c r="I17" s="259" t="s">
        <v>257</v>
      </c>
      <c r="J17" s="264"/>
      <c r="K17" s="265"/>
    </row>
    <row r="18" spans="2:11" s="6" customFormat="1" ht="61.5" x14ac:dyDescent="0.4">
      <c r="B18" s="258">
        <v>10</v>
      </c>
      <c r="C18" s="259" t="s">
        <v>207</v>
      </c>
      <c r="D18" s="259" t="s">
        <v>220</v>
      </c>
      <c r="E18" s="259" t="s">
        <v>290</v>
      </c>
      <c r="F18" s="259" t="s">
        <v>233</v>
      </c>
      <c r="G18" s="259" t="s">
        <v>246</v>
      </c>
      <c r="H18" s="259">
        <v>8</v>
      </c>
      <c r="I18" s="259" t="s">
        <v>258</v>
      </c>
      <c r="J18" s="259" t="s">
        <v>268</v>
      </c>
      <c r="K18" s="260" t="s">
        <v>278</v>
      </c>
    </row>
    <row r="19" spans="2:11" s="6" customFormat="1" ht="61.5" x14ac:dyDescent="0.4">
      <c r="B19" s="258">
        <v>11</v>
      </c>
      <c r="C19" s="259" t="s">
        <v>208</v>
      </c>
      <c r="D19" s="259" t="s">
        <v>221</v>
      </c>
      <c r="E19" s="259" t="s">
        <v>291</v>
      </c>
      <c r="F19" s="259" t="s">
        <v>234</v>
      </c>
      <c r="G19" s="259" t="s">
        <v>247</v>
      </c>
      <c r="H19" s="262">
        <v>9</v>
      </c>
      <c r="I19" s="259" t="s">
        <v>259</v>
      </c>
      <c r="J19" s="262" t="s">
        <v>269</v>
      </c>
      <c r="K19" s="263" t="s">
        <v>279</v>
      </c>
    </row>
    <row r="20" spans="2:11" s="6" customFormat="1" ht="24.6" x14ac:dyDescent="0.4">
      <c r="B20" s="266">
        <v>12</v>
      </c>
      <c r="C20" s="267" t="s">
        <v>209</v>
      </c>
      <c r="D20" s="267" t="s">
        <v>222</v>
      </c>
      <c r="E20" s="267" t="s">
        <v>223</v>
      </c>
      <c r="F20" s="267" t="s">
        <v>235</v>
      </c>
      <c r="G20" s="267" t="s">
        <v>248</v>
      </c>
      <c r="H20" s="268"/>
      <c r="I20" s="267">
        <v>14</v>
      </c>
      <c r="J20" s="268"/>
      <c r="K20" s="269"/>
    </row>
    <row r="21" spans="2:11" s="6" customFormat="1" ht="15" x14ac:dyDescent="0.4">
      <c r="B21" s="1"/>
    </row>
  </sheetData>
  <sheetProtection sheet="1" objects="1" scenarios="1"/>
  <mergeCells count="12">
    <mergeCell ref="K16:K17"/>
    <mergeCell ref="K19:K20"/>
    <mergeCell ref="H16:H17"/>
    <mergeCell ref="H19:H20"/>
    <mergeCell ref="J16:J17"/>
    <mergeCell ref="J19:J20"/>
    <mergeCell ref="J10:J11"/>
    <mergeCell ref="C6:D6"/>
    <mergeCell ref="E6:F6"/>
    <mergeCell ref="J6:K6"/>
    <mergeCell ref="H10:H11"/>
    <mergeCell ref="K10:K11"/>
  </mergeCells>
  <hyperlinks>
    <hyperlink ref="A1" location="'Spis treści'!A1" display="'Spis treści'!A1" xr:uid="{00000000-0004-0000-0E00-000000000000}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19"/>
  <dimension ref="A1:J27"/>
  <sheetViews>
    <sheetView workbookViewId="0">
      <selection activeCell="B3" sqref="B3"/>
    </sheetView>
  </sheetViews>
  <sheetFormatPr defaultColWidth="9.1640625" defaultRowHeight="15" x14ac:dyDescent="0.4"/>
  <cols>
    <col min="1" max="1" width="1.1640625" style="6" customWidth="1"/>
    <col min="2" max="2" width="14.83203125" style="1" customWidth="1"/>
    <col min="3" max="3" width="26.27734375" style="6" customWidth="1"/>
    <col min="4" max="4" width="70.71875" style="6" customWidth="1"/>
    <col min="5" max="5" width="14.1640625" style="6" customWidth="1"/>
    <col min="6" max="6" width="11.44140625" style="6" customWidth="1"/>
    <col min="7" max="16384" width="9.1640625" style="6"/>
  </cols>
  <sheetData>
    <row r="1" spans="1:10" s="76" customFormat="1" ht="17.399999999999999" x14ac:dyDescent="0.55000000000000004">
      <c r="A1" s="75" t="s">
        <v>27</v>
      </c>
    </row>
    <row r="2" spans="1:10" s="76" customFormat="1" ht="17.399999999999999" x14ac:dyDescent="0.55000000000000004"/>
    <row r="3" spans="1:10" s="76" customFormat="1" ht="19.8" x14ac:dyDescent="0.65">
      <c r="A3" s="74" t="s">
        <v>544</v>
      </c>
    </row>
    <row r="5" spans="1:10" s="138" customFormat="1" ht="37.5" customHeight="1" x14ac:dyDescent="0.4">
      <c r="C5" s="139"/>
      <c r="D5" s="271" t="s">
        <v>545</v>
      </c>
      <c r="E5" s="139"/>
      <c r="F5" s="139"/>
      <c r="G5" s="139"/>
      <c r="H5" s="139"/>
      <c r="I5" s="139"/>
      <c r="J5" s="139"/>
    </row>
    <row r="6" spans="1:10" s="1" customFormat="1" ht="24.6" x14ac:dyDescent="0.4">
      <c r="B6" s="251" t="s">
        <v>546</v>
      </c>
      <c r="C6" s="253" t="s">
        <v>547</v>
      </c>
      <c r="D6" s="253" t="s">
        <v>549</v>
      </c>
      <c r="E6" s="252" t="s">
        <v>548</v>
      </c>
      <c r="F6" s="254"/>
    </row>
    <row r="7" spans="1:10" s="1" customFormat="1" x14ac:dyDescent="0.4">
      <c r="B7" s="258"/>
      <c r="C7" s="259"/>
      <c r="D7" s="259"/>
      <c r="E7" s="259" t="s">
        <v>550</v>
      </c>
      <c r="F7" s="260" t="s">
        <v>551</v>
      </c>
    </row>
    <row r="8" spans="1:10" x14ac:dyDescent="0.4">
      <c r="B8" s="258">
        <v>0</v>
      </c>
      <c r="C8" s="262" t="s">
        <v>552</v>
      </c>
      <c r="D8" s="259" t="s">
        <v>553</v>
      </c>
      <c r="E8" s="259" t="s">
        <v>570</v>
      </c>
      <c r="F8" s="260" t="s">
        <v>580</v>
      </c>
    </row>
    <row r="9" spans="1:10" x14ac:dyDescent="0.4">
      <c r="B9" s="258">
        <v>1</v>
      </c>
      <c r="C9" s="264"/>
      <c r="D9" s="259" t="s">
        <v>554</v>
      </c>
      <c r="E9" s="259" t="s">
        <v>571</v>
      </c>
      <c r="F9" s="260" t="s">
        <v>581</v>
      </c>
    </row>
    <row r="10" spans="1:10" x14ac:dyDescent="0.4">
      <c r="B10" s="258">
        <v>2</v>
      </c>
      <c r="C10" s="259" t="s">
        <v>555</v>
      </c>
      <c r="D10" s="259" t="s">
        <v>562</v>
      </c>
      <c r="E10" s="259" t="s">
        <v>572</v>
      </c>
      <c r="F10" s="260" t="s">
        <v>582</v>
      </c>
    </row>
    <row r="11" spans="1:10" ht="24.6" x14ac:dyDescent="0.4">
      <c r="B11" s="258">
        <v>3</v>
      </c>
      <c r="C11" s="259" t="s">
        <v>556</v>
      </c>
      <c r="D11" s="259" t="s">
        <v>563</v>
      </c>
      <c r="E11" s="259" t="s">
        <v>573</v>
      </c>
      <c r="F11" s="260" t="s">
        <v>583</v>
      </c>
    </row>
    <row r="12" spans="1:10" x14ac:dyDescent="0.4">
      <c r="B12" s="258">
        <v>4</v>
      </c>
      <c r="C12" s="262" t="s">
        <v>557</v>
      </c>
      <c r="D12" s="259" t="s">
        <v>564</v>
      </c>
      <c r="E12" s="259" t="s">
        <v>575</v>
      </c>
      <c r="F12" s="260" t="s">
        <v>584</v>
      </c>
    </row>
    <row r="13" spans="1:10" x14ac:dyDescent="0.4">
      <c r="B13" s="258">
        <v>5</v>
      </c>
      <c r="C13" s="264"/>
      <c r="D13" s="259" t="s">
        <v>565</v>
      </c>
      <c r="E13" s="259" t="s">
        <v>574</v>
      </c>
      <c r="F13" s="260" t="s">
        <v>585</v>
      </c>
    </row>
    <row r="14" spans="1:10" ht="24.6" x14ac:dyDescent="0.4">
      <c r="B14" s="258">
        <v>6</v>
      </c>
      <c r="C14" s="259" t="s">
        <v>558</v>
      </c>
      <c r="D14" s="259" t="s">
        <v>566</v>
      </c>
      <c r="E14" s="259" t="s">
        <v>576</v>
      </c>
      <c r="F14" s="260" t="s">
        <v>586</v>
      </c>
    </row>
    <row r="15" spans="1:10" ht="24.6" x14ac:dyDescent="0.4">
      <c r="B15" s="258">
        <v>7</v>
      </c>
      <c r="C15" s="259" t="s">
        <v>559</v>
      </c>
      <c r="D15" s="259" t="s">
        <v>567</v>
      </c>
      <c r="E15" s="259" t="s">
        <v>577</v>
      </c>
      <c r="F15" s="260" t="s">
        <v>587</v>
      </c>
    </row>
    <row r="16" spans="1:10" ht="24.6" x14ac:dyDescent="0.4">
      <c r="B16" s="258">
        <v>8</v>
      </c>
      <c r="C16" s="259" t="s">
        <v>560</v>
      </c>
      <c r="D16" s="259" t="s">
        <v>568</v>
      </c>
      <c r="E16" s="259" t="s">
        <v>578</v>
      </c>
      <c r="F16" s="260" t="s">
        <v>588</v>
      </c>
    </row>
    <row r="17" spans="2:6" ht="24.6" x14ac:dyDescent="0.4">
      <c r="B17" s="266">
        <v>9</v>
      </c>
      <c r="C17" s="267" t="s">
        <v>561</v>
      </c>
      <c r="D17" s="267" t="s">
        <v>569</v>
      </c>
      <c r="E17" s="267" t="s">
        <v>579</v>
      </c>
      <c r="F17" s="270" t="s">
        <v>589</v>
      </c>
    </row>
    <row r="20" spans="2:6" s="29" customFormat="1" x14ac:dyDescent="0.4">
      <c r="D20" s="271" t="s">
        <v>590</v>
      </c>
    </row>
    <row r="21" spans="2:6" x14ac:dyDescent="0.4">
      <c r="C21" s="272"/>
      <c r="D21" s="272"/>
    </row>
    <row r="22" spans="2:6" x14ac:dyDescent="0.4">
      <c r="C22" s="246" t="s">
        <v>591</v>
      </c>
      <c r="D22" s="247" t="s">
        <v>592</v>
      </c>
    </row>
    <row r="23" spans="2:6" x14ac:dyDescent="0.4">
      <c r="C23" s="258"/>
      <c r="D23" s="260" t="s">
        <v>597</v>
      </c>
    </row>
    <row r="24" spans="2:6" x14ac:dyDescent="0.4">
      <c r="C24" s="258" t="s">
        <v>593</v>
      </c>
      <c r="D24" s="260" t="s">
        <v>598</v>
      </c>
    </row>
    <row r="25" spans="2:6" ht="24.6" x14ac:dyDescent="0.4">
      <c r="C25" s="258" t="s">
        <v>594</v>
      </c>
      <c r="D25" s="260" t="s">
        <v>599</v>
      </c>
    </row>
    <row r="26" spans="2:6" ht="24.6" x14ac:dyDescent="0.4">
      <c r="C26" s="258" t="s">
        <v>595</v>
      </c>
      <c r="D26" s="260" t="s">
        <v>600</v>
      </c>
    </row>
    <row r="27" spans="2:6" x14ac:dyDescent="0.4">
      <c r="C27" s="266" t="s">
        <v>596</v>
      </c>
      <c r="D27" s="270" t="s">
        <v>601</v>
      </c>
    </row>
  </sheetData>
  <sheetProtection sheet="1" objects="1" scenarios="1"/>
  <mergeCells count="3">
    <mergeCell ref="E6:F6"/>
    <mergeCell ref="C8:C9"/>
    <mergeCell ref="C12:C13"/>
  </mergeCells>
  <hyperlinks>
    <hyperlink ref="A1" location="'Spis treści'!A1" display="'Spis treści'!A1" xr:uid="{00000000-0004-0000-0F00-000000000000}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usz20"/>
  <dimension ref="A1:F43"/>
  <sheetViews>
    <sheetView workbookViewId="0">
      <selection activeCell="B3" sqref="B3"/>
    </sheetView>
  </sheetViews>
  <sheetFormatPr defaultColWidth="12.83203125" defaultRowHeight="15" x14ac:dyDescent="0.4"/>
  <cols>
    <col min="1" max="1" width="2.27734375" style="1" customWidth="1"/>
    <col min="2" max="2" width="17.71875" style="1" customWidth="1"/>
    <col min="3" max="3" width="15.27734375" style="1" customWidth="1"/>
    <col min="4" max="4" width="13.5546875" style="1" customWidth="1"/>
    <col min="5" max="5" width="74.71875" style="1" customWidth="1"/>
    <col min="6" max="6" width="14.5546875" style="1" customWidth="1"/>
    <col min="7" max="16384" width="12.83203125" style="1"/>
  </cols>
  <sheetData>
    <row r="1" spans="1:6" s="76" customFormat="1" ht="17.399999999999999" x14ac:dyDescent="0.55000000000000004">
      <c r="A1" s="75" t="s">
        <v>27</v>
      </c>
    </row>
    <row r="2" spans="1:6" s="76" customFormat="1" ht="17.399999999999999" x14ac:dyDescent="0.55000000000000004"/>
    <row r="3" spans="1:6" s="76" customFormat="1" ht="19.8" x14ac:dyDescent="0.65">
      <c r="A3" s="74" t="s">
        <v>425</v>
      </c>
    </row>
    <row r="4" spans="1:6" ht="12" customHeight="1" x14ac:dyDescent="0.4"/>
    <row r="5" spans="1:6" ht="15.75" customHeight="1" x14ac:dyDescent="0.4">
      <c r="B5" s="251" t="s">
        <v>296</v>
      </c>
      <c r="C5" s="252" t="s">
        <v>292</v>
      </c>
      <c r="D5" s="252"/>
      <c r="E5" s="253" t="s">
        <v>294</v>
      </c>
      <c r="F5" s="273" t="s">
        <v>295</v>
      </c>
    </row>
    <row r="6" spans="1:6" ht="18.75" customHeight="1" x14ac:dyDescent="0.4">
      <c r="B6" s="274"/>
      <c r="C6" s="275" t="s">
        <v>293</v>
      </c>
      <c r="D6" s="275" t="s">
        <v>152</v>
      </c>
      <c r="E6" s="227"/>
      <c r="F6" s="228"/>
    </row>
    <row r="7" spans="1:6" ht="24.6" x14ac:dyDescent="0.4">
      <c r="B7" s="229" t="s">
        <v>297</v>
      </c>
      <c r="C7" s="227" t="s">
        <v>324</v>
      </c>
      <c r="D7" s="227" t="s">
        <v>180</v>
      </c>
      <c r="E7" s="227" t="s">
        <v>394</v>
      </c>
      <c r="F7" s="228"/>
    </row>
    <row r="8" spans="1:6" ht="36.9" x14ac:dyDescent="0.4">
      <c r="B8" s="229" t="s">
        <v>298</v>
      </c>
      <c r="C8" s="227" t="s">
        <v>325</v>
      </c>
      <c r="D8" s="227" t="s">
        <v>352</v>
      </c>
      <c r="E8" s="227" t="s">
        <v>395</v>
      </c>
      <c r="F8" s="228"/>
    </row>
    <row r="9" spans="1:6" x14ac:dyDescent="0.4">
      <c r="B9" s="229" t="s">
        <v>299</v>
      </c>
      <c r="C9" s="227" t="s">
        <v>351</v>
      </c>
      <c r="D9" s="227" t="s">
        <v>353</v>
      </c>
      <c r="E9" s="227" t="s">
        <v>396</v>
      </c>
      <c r="F9" s="228"/>
    </row>
    <row r="10" spans="1:6" ht="24.6" x14ac:dyDescent="0.4">
      <c r="B10" s="229" t="s">
        <v>300</v>
      </c>
      <c r="C10" s="227" t="s">
        <v>326</v>
      </c>
      <c r="D10" s="227" t="s">
        <v>354</v>
      </c>
      <c r="E10" s="227" t="s">
        <v>397</v>
      </c>
      <c r="F10" s="228"/>
    </row>
    <row r="11" spans="1:6" ht="24.6" x14ac:dyDescent="0.4">
      <c r="B11" s="229" t="s">
        <v>301</v>
      </c>
      <c r="C11" s="227" t="s">
        <v>327</v>
      </c>
      <c r="D11" s="227" t="s">
        <v>355</v>
      </c>
      <c r="E11" s="227" t="s">
        <v>398</v>
      </c>
      <c r="F11" s="228"/>
    </row>
    <row r="12" spans="1:6" ht="24.6" x14ac:dyDescent="0.4">
      <c r="B12" s="229" t="s">
        <v>302</v>
      </c>
      <c r="C12" s="227" t="s">
        <v>328</v>
      </c>
      <c r="D12" s="227" t="s">
        <v>356</v>
      </c>
      <c r="E12" s="227" t="s">
        <v>399</v>
      </c>
      <c r="F12" s="228"/>
    </row>
    <row r="13" spans="1:6" ht="36.9" x14ac:dyDescent="0.4">
      <c r="B13" s="229" t="s">
        <v>303</v>
      </c>
      <c r="C13" s="227" t="s">
        <v>329</v>
      </c>
      <c r="D13" s="227" t="s">
        <v>329</v>
      </c>
      <c r="E13" s="227" t="s">
        <v>400</v>
      </c>
      <c r="F13" s="276" t="s">
        <v>419</v>
      </c>
    </row>
    <row r="14" spans="1:6" ht="38.4" x14ac:dyDescent="0.4">
      <c r="B14" s="229" t="s">
        <v>304</v>
      </c>
      <c r="C14" s="227" t="s">
        <v>330</v>
      </c>
      <c r="D14" s="227" t="s">
        <v>357</v>
      </c>
      <c r="E14" s="227" t="s">
        <v>803</v>
      </c>
      <c r="F14" s="228"/>
    </row>
    <row r="15" spans="1:6" ht="24.6" x14ac:dyDescent="0.4">
      <c r="B15" s="229" t="s">
        <v>305</v>
      </c>
      <c r="C15" s="227" t="s">
        <v>331</v>
      </c>
      <c r="D15" s="227" t="s">
        <v>358</v>
      </c>
      <c r="E15" s="227" t="s">
        <v>401</v>
      </c>
      <c r="F15" s="228"/>
    </row>
    <row r="16" spans="1:6" ht="26.1" x14ac:dyDescent="0.4">
      <c r="B16" s="229" t="s">
        <v>306</v>
      </c>
      <c r="C16" s="227" t="s">
        <v>332</v>
      </c>
      <c r="D16" s="227" t="s">
        <v>359</v>
      </c>
      <c r="E16" s="227" t="s">
        <v>804</v>
      </c>
      <c r="F16" s="228"/>
    </row>
    <row r="17" spans="2:6" ht="27.6" x14ac:dyDescent="0.4">
      <c r="B17" s="229" t="s">
        <v>307</v>
      </c>
      <c r="C17" s="227" t="s">
        <v>333</v>
      </c>
      <c r="D17" s="227" t="s">
        <v>360</v>
      </c>
      <c r="E17" s="227" t="s">
        <v>805</v>
      </c>
      <c r="F17" s="228"/>
    </row>
    <row r="18" spans="2:6" ht="26.1" x14ac:dyDescent="0.4">
      <c r="B18" s="229" t="s">
        <v>308</v>
      </c>
      <c r="C18" s="227" t="s">
        <v>334</v>
      </c>
      <c r="D18" s="227" t="s">
        <v>45</v>
      </c>
      <c r="E18" s="227" t="s">
        <v>806</v>
      </c>
      <c r="F18" s="228"/>
    </row>
    <row r="19" spans="2:6" ht="24.6" x14ac:dyDescent="0.4">
      <c r="B19" s="229" t="s">
        <v>309</v>
      </c>
      <c r="C19" s="227" t="s">
        <v>335</v>
      </c>
      <c r="D19" s="227" t="s">
        <v>361</v>
      </c>
      <c r="E19" s="227" t="s">
        <v>402</v>
      </c>
      <c r="F19" s="228"/>
    </row>
    <row r="20" spans="2:6" ht="61.5" x14ac:dyDescent="0.4">
      <c r="B20" s="229" t="s">
        <v>310</v>
      </c>
      <c r="C20" s="227" t="s">
        <v>336</v>
      </c>
      <c r="D20" s="227" t="s">
        <v>362</v>
      </c>
      <c r="E20" s="227" t="s">
        <v>403</v>
      </c>
      <c r="F20" s="228" t="s">
        <v>420</v>
      </c>
    </row>
    <row r="21" spans="2:6" ht="24.6" x14ac:dyDescent="0.4">
      <c r="B21" s="229" t="s">
        <v>311</v>
      </c>
      <c r="C21" s="227" t="s">
        <v>337</v>
      </c>
      <c r="D21" s="227" t="s">
        <v>69</v>
      </c>
      <c r="E21" s="227" t="s">
        <v>404</v>
      </c>
      <c r="F21" s="228"/>
    </row>
    <row r="22" spans="2:6" ht="26.1" x14ac:dyDescent="0.4">
      <c r="B22" s="229" t="s">
        <v>312</v>
      </c>
      <c r="C22" s="227" t="s">
        <v>338</v>
      </c>
      <c r="D22" s="227" t="s">
        <v>807</v>
      </c>
      <c r="E22" s="227" t="s">
        <v>808</v>
      </c>
      <c r="F22" s="228"/>
    </row>
    <row r="23" spans="2:6" ht="26.1" x14ac:dyDescent="0.4">
      <c r="B23" s="229" t="s">
        <v>313</v>
      </c>
      <c r="C23" s="227" t="s">
        <v>339</v>
      </c>
      <c r="D23" s="227" t="s">
        <v>809</v>
      </c>
      <c r="E23" s="227" t="s">
        <v>810</v>
      </c>
      <c r="F23" s="228"/>
    </row>
    <row r="24" spans="2:6" ht="26.1" x14ac:dyDescent="0.4">
      <c r="B24" s="229" t="s">
        <v>314</v>
      </c>
      <c r="C24" s="227" t="s">
        <v>340</v>
      </c>
      <c r="D24" s="227" t="s">
        <v>811</v>
      </c>
      <c r="E24" s="227" t="s">
        <v>812</v>
      </c>
      <c r="F24" s="228"/>
    </row>
    <row r="25" spans="2:6" ht="24.6" x14ac:dyDescent="0.4">
      <c r="B25" s="229" t="s">
        <v>315</v>
      </c>
      <c r="C25" s="227" t="s">
        <v>341</v>
      </c>
      <c r="D25" s="227" t="s">
        <v>25</v>
      </c>
      <c r="E25" s="227" t="s">
        <v>405</v>
      </c>
      <c r="F25" s="228"/>
    </row>
    <row r="26" spans="2:6" ht="36.9" x14ac:dyDescent="0.4">
      <c r="B26" s="229" t="s">
        <v>316</v>
      </c>
      <c r="C26" s="227" t="s">
        <v>342</v>
      </c>
      <c r="D26" s="227" t="s">
        <v>363</v>
      </c>
      <c r="E26" s="227" t="s">
        <v>406</v>
      </c>
      <c r="F26" s="228"/>
    </row>
    <row r="27" spans="2:6" ht="38.4" x14ac:dyDescent="0.4">
      <c r="B27" s="229" t="s">
        <v>317</v>
      </c>
      <c r="C27" s="227" t="s">
        <v>343</v>
      </c>
      <c r="D27" s="227" t="s">
        <v>813</v>
      </c>
      <c r="E27" s="227" t="s">
        <v>814</v>
      </c>
      <c r="F27" s="228"/>
    </row>
    <row r="28" spans="2:6" ht="24.6" x14ac:dyDescent="0.4">
      <c r="B28" s="229" t="s">
        <v>318</v>
      </c>
      <c r="C28" s="227" t="s">
        <v>344</v>
      </c>
      <c r="D28" s="227" t="s">
        <v>364</v>
      </c>
      <c r="E28" s="227" t="s">
        <v>407</v>
      </c>
      <c r="F28" s="228"/>
    </row>
    <row r="29" spans="2:6" ht="24.6" x14ac:dyDescent="0.4">
      <c r="B29" s="229" t="s">
        <v>319</v>
      </c>
      <c r="C29" s="227" t="s">
        <v>345</v>
      </c>
      <c r="D29" s="227" t="s">
        <v>365</v>
      </c>
      <c r="E29" s="227" t="s">
        <v>408</v>
      </c>
      <c r="F29" s="228"/>
    </row>
    <row r="30" spans="2:6" ht="24.6" x14ac:dyDescent="0.4">
      <c r="B30" s="229" t="s">
        <v>320</v>
      </c>
      <c r="C30" s="227" t="s">
        <v>346</v>
      </c>
      <c r="D30" s="227" t="s">
        <v>366</v>
      </c>
      <c r="E30" s="227" t="s">
        <v>409</v>
      </c>
      <c r="F30" s="228"/>
    </row>
    <row r="31" spans="2:6" ht="24.6" x14ac:dyDescent="0.4">
      <c r="B31" s="229" t="s">
        <v>321</v>
      </c>
      <c r="C31" s="227" t="s">
        <v>347</v>
      </c>
      <c r="D31" s="227" t="s">
        <v>367</v>
      </c>
      <c r="E31" s="227" t="s">
        <v>410</v>
      </c>
      <c r="F31" s="228"/>
    </row>
    <row r="32" spans="2:6" ht="36.9" x14ac:dyDescent="0.4">
      <c r="B32" s="229" t="s">
        <v>322</v>
      </c>
      <c r="C32" s="227" t="s">
        <v>348</v>
      </c>
      <c r="D32" s="227" t="s">
        <v>368</v>
      </c>
      <c r="E32" s="227" t="s">
        <v>411</v>
      </c>
      <c r="F32" s="228"/>
    </row>
    <row r="33" spans="2:6" ht="50.7" x14ac:dyDescent="0.4">
      <c r="B33" s="229" t="s">
        <v>421</v>
      </c>
      <c r="C33" s="227" t="s">
        <v>349</v>
      </c>
      <c r="D33" s="227" t="s">
        <v>369</v>
      </c>
      <c r="E33" s="227" t="s">
        <v>815</v>
      </c>
      <c r="F33" s="228" t="s">
        <v>422</v>
      </c>
    </row>
    <row r="34" spans="2:6" ht="52.2" x14ac:dyDescent="0.4">
      <c r="B34" s="229" t="s">
        <v>323</v>
      </c>
      <c r="C34" s="227" t="s">
        <v>350</v>
      </c>
      <c r="D34" s="227" t="s">
        <v>816</v>
      </c>
      <c r="E34" s="227" t="s">
        <v>817</v>
      </c>
      <c r="F34" s="228"/>
    </row>
    <row r="35" spans="2:6" ht="36.9" x14ac:dyDescent="0.4">
      <c r="B35" s="229" t="s">
        <v>370</v>
      </c>
      <c r="C35" s="227" t="s">
        <v>371</v>
      </c>
      <c r="D35" s="227" t="s">
        <v>372</v>
      </c>
      <c r="E35" s="227" t="s">
        <v>412</v>
      </c>
      <c r="F35" s="228"/>
    </row>
    <row r="36" spans="2:6" ht="73.8" x14ac:dyDescent="0.4">
      <c r="B36" s="229" t="s">
        <v>373</v>
      </c>
      <c r="C36" s="227" t="s">
        <v>374</v>
      </c>
      <c r="D36" s="227" t="s">
        <v>375</v>
      </c>
      <c r="E36" s="227" t="s">
        <v>413</v>
      </c>
      <c r="F36" s="228" t="s">
        <v>423</v>
      </c>
    </row>
    <row r="37" spans="2:6" ht="49.2" x14ac:dyDescent="0.4">
      <c r="B37" s="229" t="s">
        <v>376</v>
      </c>
      <c r="C37" s="227" t="s">
        <v>377</v>
      </c>
      <c r="D37" s="227" t="s">
        <v>378</v>
      </c>
      <c r="E37" s="227" t="s">
        <v>414</v>
      </c>
      <c r="F37" s="228" t="s">
        <v>424</v>
      </c>
    </row>
    <row r="38" spans="2:6" ht="49.2" x14ac:dyDescent="0.4">
      <c r="B38" s="229" t="s">
        <v>379</v>
      </c>
      <c r="C38" s="227" t="s">
        <v>380</v>
      </c>
      <c r="D38" s="227" t="s">
        <v>381</v>
      </c>
      <c r="E38" s="227" t="s">
        <v>415</v>
      </c>
      <c r="F38" s="228"/>
    </row>
    <row r="39" spans="2:6" ht="36.9" x14ac:dyDescent="0.4">
      <c r="B39" s="229" t="s">
        <v>382</v>
      </c>
      <c r="C39" s="227" t="s">
        <v>383</v>
      </c>
      <c r="D39" s="230" t="s">
        <v>69</v>
      </c>
      <c r="E39" s="227" t="s">
        <v>818</v>
      </c>
      <c r="F39" s="228"/>
    </row>
    <row r="40" spans="2:6" ht="24.6" x14ac:dyDescent="0.4">
      <c r="B40" s="229" t="s">
        <v>384</v>
      </c>
      <c r="C40" s="227" t="s">
        <v>385</v>
      </c>
      <c r="D40" s="227" t="s">
        <v>61</v>
      </c>
      <c r="E40" s="227" t="s">
        <v>819</v>
      </c>
      <c r="F40" s="228"/>
    </row>
    <row r="41" spans="2:6" ht="61.5" x14ac:dyDescent="0.4">
      <c r="B41" s="229" t="s">
        <v>386</v>
      </c>
      <c r="C41" s="227" t="s">
        <v>387</v>
      </c>
      <c r="D41" s="227" t="s">
        <v>388</v>
      </c>
      <c r="E41" s="227" t="s">
        <v>416</v>
      </c>
      <c r="F41" s="228"/>
    </row>
    <row r="42" spans="2:6" ht="36.9" x14ac:dyDescent="0.4">
      <c r="B42" s="229" t="s">
        <v>389</v>
      </c>
      <c r="C42" s="227" t="s">
        <v>390</v>
      </c>
      <c r="D42" s="227" t="s">
        <v>172</v>
      </c>
      <c r="E42" s="227" t="s">
        <v>417</v>
      </c>
      <c r="F42" s="228"/>
    </row>
    <row r="43" spans="2:6" ht="36.9" x14ac:dyDescent="0.4">
      <c r="B43" s="236" t="s">
        <v>391</v>
      </c>
      <c r="C43" s="237" t="s">
        <v>392</v>
      </c>
      <c r="D43" s="237" t="s">
        <v>393</v>
      </c>
      <c r="E43" s="237" t="s">
        <v>418</v>
      </c>
      <c r="F43" s="241"/>
    </row>
  </sheetData>
  <mergeCells count="1">
    <mergeCell ref="C5:D5"/>
  </mergeCells>
  <hyperlinks>
    <hyperlink ref="A1" location="'Spis treści'!A1" display="'Spis treści'!A1" xr:uid="{00000000-0004-0000-1000-000000000000}"/>
  </hyperlink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rkusz21"/>
  <dimension ref="A1:F56"/>
  <sheetViews>
    <sheetView workbookViewId="0">
      <selection activeCell="B3" sqref="B3"/>
    </sheetView>
  </sheetViews>
  <sheetFormatPr defaultColWidth="12.83203125" defaultRowHeight="15" x14ac:dyDescent="0.4"/>
  <cols>
    <col min="1" max="1" width="0.83203125" style="1" customWidth="1"/>
    <col min="2" max="2" width="18.71875" style="2" customWidth="1"/>
    <col min="3" max="3" width="17.44140625" style="1" customWidth="1"/>
    <col min="4" max="4" width="13.5546875" style="1" customWidth="1"/>
    <col min="5" max="5" width="69.1640625" style="1" customWidth="1"/>
    <col min="6" max="6" width="24.5546875" style="3" customWidth="1"/>
    <col min="7" max="16384" width="12.83203125" style="1"/>
  </cols>
  <sheetData>
    <row r="1" spans="1:6" s="76" customFormat="1" ht="17.399999999999999" x14ac:dyDescent="0.55000000000000004">
      <c r="A1" s="75" t="s">
        <v>27</v>
      </c>
    </row>
    <row r="2" spans="1:6" s="76" customFormat="1" ht="17.399999999999999" x14ac:dyDescent="0.55000000000000004"/>
    <row r="3" spans="1:6" s="76" customFormat="1" ht="19.8" x14ac:dyDescent="0.65">
      <c r="A3" s="74" t="s">
        <v>426</v>
      </c>
    </row>
    <row r="4" spans="1:6" ht="12" customHeight="1" x14ac:dyDescent="0.4"/>
    <row r="5" spans="1:6" s="5" customFormat="1" ht="37.5" customHeight="1" x14ac:dyDescent="0.4">
      <c r="A5" s="4"/>
      <c r="B5" s="288" t="s">
        <v>473</v>
      </c>
      <c r="C5" s="288"/>
      <c r="D5" s="288"/>
      <c r="E5" s="288"/>
      <c r="F5" s="288"/>
    </row>
    <row r="6" spans="1:6" ht="15.75" customHeight="1" x14ac:dyDescent="0.4">
      <c r="B6" s="251" t="s">
        <v>296</v>
      </c>
      <c r="C6" s="252" t="s">
        <v>292</v>
      </c>
      <c r="D6" s="252"/>
      <c r="E6" s="253" t="s">
        <v>427</v>
      </c>
      <c r="F6" s="277" t="s">
        <v>295</v>
      </c>
    </row>
    <row r="7" spans="1:6" ht="18.75" customHeight="1" x14ac:dyDescent="0.4">
      <c r="B7" s="274"/>
      <c r="C7" s="275" t="s">
        <v>293</v>
      </c>
      <c r="D7" s="275" t="s">
        <v>152</v>
      </c>
      <c r="E7" s="227"/>
      <c r="F7" s="278"/>
    </row>
    <row r="8" spans="1:6" x14ac:dyDescent="0.4">
      <c r="B8" s="283" t="s">
        <v>298</v>
      </c>
      <c r="C8" s="227" t="s">
        <v>428</v>
      </c>
      <c r="D8" s="227" t="s">
        <v>485</v>
      </c>
      <c r="E8" s="227" t="s">
        <v>515</v>
      </c>
      <c r="F8" s="279" t="s">
        <v>540</v>
      </c>
    </row>
    <row r="9" spans="1:6" x14ac:dyDescent="0.4">
      <c r="B9" s="284"/>
      <c r="C9" s="227" t="s">
        <v>429</v>
      </c>
      <c r="D9" s="227" t="s">
        <v>176</v>
      </c>
      <c r="E9" s="227" t="s">
        <v>516</v>
      </c>
      <c r="F9" s="280"/>
    </row>
    <row r="10" spans="1:6" x14ac:dyDescent="0.4">
      <c r="B10" s="285"/>
      <c r="C10" s="227" t="s">
        <v>430</v>
      </c>
      <c r="D10" s="227" t="s">
        <v>178</v>
      </c>
      <c r="E10" s="227" t="s">
        <v>517</v>
      </c>
      <c r="F10" s="281"/>
    </row>
    <row r="11" spans="1:6" x14ac:dyDescent="0.4">
      <c r="B11" s="229" t="s">
        <v>299</v>
      </c>
      <c r="C11" s="227" t="s">
        <v>431</v>
      </c>
      <c r="D11" s="227" t="s">
        <v>486</v>
      </c>
      <c r="E11" s="227" t="s">
        <v>518</v>
      </c>
      <c r="F11" s="278"/>
    </row>
    <row r="12" spans="1:6" x14ac:dyDescent="0.4">
      <c r="B12" s="283" t="s">
        <v>301</v>
      </c>
      <c r="C12" s="227" t="s">
        <v>432</v>
      </c>
      <c r="D12" s="227" t="s">
        <v>488</v>
      </c>
      <c r="E12" s="227" t="s">
        <v>823</v>
      </c>
      <c r="F12" s="278"/>
    </row>
    <row r="13" spans="1:6" x14ac:dyDescent="0.4">
      <c r="B13" s="284"/>
      <c r="C13" s="227" t="s">
        <v>428</v>
      </c>
      <c r="D13" s="227" t="s">
        <v>489</v>
      </c>
      <c r="E13" s="227" t="s">
        <v>824</v>
      </c>
      <c r="F13" s="278"/>
    </row>
    <row r="14" spans="1:6" x14ac:dyDescent="0.4">
      <c r="B14" s="284"/>
      <c r="C14" s="227" t="s">
        <v>325</v>
      </c>
      <c r="D14" s="227" t="s">
        <v>490</v>
      </c>
      <c r="E14" s="227" t="s">
        <v>825</v>
      </c>
      <c r="F14" s="282"/>
    </row>
    <row r="15" spans="1:6" x14ac:dyDescent="0.4">
      <c r="B15" s="285"/>
      <c r="C15" s="227" t="s">
        <v>433</v>
      </c>
      <c r="D15" s="286" t="s">
        <v>491</v>
      </c>
      <c r="E15" s="227" t="s">
        <v>826</v>
      </c>
      <c r="F15" s="278"/>
    </row>
    <row r="16" spans="1:6" x14ac:dyDescent="0.4">
      <c r="B16" s="229" t="s">
        <v>315</v>
      </c>
      <c r="C16" s="227" t="s">
        <v>434</v>
      </c>
      <c r="D16" s="227" t="s">
        <v>23</v>
      </c>
      <c r="E16" s="227" t="s">
        <v>526</v>
      </c>
      <c r="F16" s="278"/>
    </row>
    <row r="17" spans="2:6" ht="31.5" customHeight="1" x14ac:dyDescent="0.4">
      <c r="B17" s="283" t="s">
        <v>475</v>
      </c>
      <c r="C17" s="227" t="s">
        <v>435</v>
      </c>
      <c r="D17" s="227" t="s">
        <v>487</v>
      </c>
      <c r="E17" s="227" t="s">
        <v>827</v>
      </c>
      <c r="F17" s="279" t="s">
        <v>541</v>
      </c>
    </row>
    <row r="18" spans="2:6" x14ac:dyDescent="0.4">
      <c r="B18" s="285"/>
      <c r="C18" s="227" t="s">
        <v>436</v>
      </c>
      <c r="D18" s="227" t="s">
        <v>492</v>
      </c>
      <c r="E18" s="227" t="s">
        <v>828</v>
      </c>
      <c r="F18" s="281"/>
    </row>
    <row r="19" spans="2:6" ht="16.5" customHeight="1" x14ac:dyDescent="0.4">
      <c r="B19" s="229" t="s">
        <v>476</v>
      </c>
      <c r="C19" s="227" t="s">
        <v>437</v>
      </c>
      <c r="D19" s="227" t="s">
        <v>493</v>
      </c>
      <c r="E19" s="227" t="s">
        <v>519</v>
      </c>
      <c r="F19" s="278"/>
    </row>
    <row r="20" spans="2:6" ht="25" customHeight="1" x14ac:dyDescent="0.4">
      <c r="B20" s="283" t="s">
        <v>477</v>
      </c>
      <c r="C20" s="227" t="s">
        <v>438</v>
      </c>
      <c r="D20" s="227" t="s">
        <v>494</v>
      </c>
      <c r="E20" s="227" t="s">
        <v>520</v>
      </c>
      <c r="F20" s="278"/>
    </row>
    <row r="21" spans="2:6" ht="25" customHeight="1" x14ac:dyDescent="0.4">
      <c r="B21" s="285"/>
      <c r="C21" s="227" t="s">
        <v>439</v>
      </c>
      <c r="D21" s="227" t="s">
        <v>820</v>
      </c>
      <c r="E21" s="227" t="s">
        <v>821</v>
      </c>
      <c r="F21" s="278"/>
    </row>
    <row r="22" spans="2:6" x14ac:dyDescent="0.4">
      <c r="B22" s="283" t="s">
        <v>310</v>
      </c>
      <c r="C22" s="227" t="s">
        <v>440</v>
      </c>
      <c r="D22" s="227" t="s">
        <v>495</v>
      </c>
      <c r="E22" s="227" t="s">
        <v>829</v>
      </c>
      <c r="F22" s="278"/>
    </row>
    <row r="23" spans="2:6" x14ac:dyDescent="0.4">
      <c r="B23" s="285"/>
      <c r="C23" s="227" t="s">
        <v>441</v>
      </c>
      <c r="D23" s="227" t="s">
        <v>496</v>
      </c>
      <c r="E23" s="227" t="s">
        <v>830</v>
      </c>
      <c r="F23" s="278"/>
    </row>
    <row r="24" spans="2:6" x14ac:dyDescent="0.4">
      <c r="B24" s="229" t="s">
        <v>370</v>
      </c>
      <c r="C24" s="227" t="s">
        <v>442</v>
      </c>
      <c r="D24" s="227" t="s">
        <v>497</v>
      </c>
      <c r="E24" s="227" t="s">
        <v>521</v>
      </c>
      <c r="F24" s="278"/>
    </row>
    <row r="25" spans="2:6" x14ac:dyDescent="0.4">
      <c r="B25" s="283" t="s">
        <v>311</v>
      </c>
      <c r="C25" s="227" t="s">
        <v>443</v>
      </c>
      <c r="D25" s="227" t="s">
        <v>498</v>
      </c>
      <c r="E25" s="227" t="s">
        <v>522</v>
      </c>
      <c r="F25" s="278"/>
    </row>
    <row r="26" spans="2:6" x14ac:dyDescent="0.4">
      <c r="B26" s="285"/>
      <c r="C26" s="227" t="s">
        <v>444</v>
      </c>
      <c r="D26" s="227" t="s">
        <v>499</v>
      </c>
      <c r="E26" s="227" t="s">
        <v>523</v>
      </c>
      <c r="F26" s="278"/>
    </row>
    <row r="27" spans="2:6" ht="30" customHeight="1" x14ac:dyDescent="0.4">
      <c r="B27" s="283" t="s">
        <v>478</v>
      </c>
      <c r="C27" s="227" t="s">
        <v>445</v>
      </c>
      <c r="D27" s="227" t="s">
        <v>500</v>
      </c>
      <c r="E27" s="227" t="s">
        <v>831</v>
      </c>
      <c r="F27" s="278"/>
    </row>
    <row r="28" spans="2:6" ht="30" customHeight="1" x14ac:dyDescent="0.4">
      <c r="B28" s="285"/>
      <c r="C28" s="227" t="s">
        <v>446</v>
      </c>
      <c r="D28" s="227" t="s">
        <v>501</v>
      </c>
      <c r="E28" s="227" t="s">
        <v>524</v>
      </c>
      <c r="F28" s="278"/>
    </row>
    <row r="29" spans="2:6" ht="24.6" x14ac:dyDescent="0.4">
      <c r="B29" s="229" t="s">
        <v>479</v>
      </c>
      <c r="C29" s="227" t="s">
        <v>447</v>
      </c>
      <c r="D29" s="227" t="s">
        <v>447</v>
      </c>
      <c r="E29" s="227" t="s">
        <v>822</v>
      </c>
      <c r="F29" s="278" t="s">
        <v>542</v>
      </c>
    </row>
    <row r="30" spans="2:6" ht="24.6" x14ac:dyDescent="0.4">
      <c r="B30" s="229" t="s">
        <v>480</v>
      </c>
      <c r="C30" s="227" t="s">
        <v>448</v>
      </c>
      <c r="D30" s="227" t="s">
        <v>502</v>
      </c>
      <c r="E30" s="227" t="s">
        <v>525</v>
      </c>
      <c r="F30" s="278"/>
    </row>
    <row r="31" spans="2:6" ht="24.6" x14ac:dyDescent="0.4">
      <c r="B31" s="229" t="s">
        <v>481</v>
      </c>
      <c r="C31" s="227" t="s">
        <v>449</v>
      </c>
      <c r="D31" s="227"/>
      <c r="E31" s="227" t="s">
        <v>832</v>
      </c>
      <c r="F31" s="278"/>
    </row>
    <row r="32" spans="2:6" ht="32.25" customHeight="1" x14ac:dyDescent="0.4">
      <c r="B32" s="289" t="s">
        <v>474</v>
      </c>
      <c r="C32" s="289"/>
      <c r="D32" s="289"/>
      <c r="E32" s="289"/>
      <c r="F32" s="289"/>
    </row>
    <row r="33" spans="2:6" ht="15.75" customHeight="1" x14ac:dyDescent="0.4">
      <c r="B33" s="283" t="s">
        <v>482</v>
      </c>
      <c r="C33" s="227" t="s">
        <v>450</v>
      </c>
      <c r="D33" s="227" t="s">
        <v>369</v>
      </c>
      <c r="E33" s="227" t="s">
        <v>833</v>
      </c>
      <c r="F33" s="278"/>
    </row>
    <row r="34" spans="2:6" x14ac:dyDescent="0.4">
      <c r="B34" s="284"/>
      <c r="C34" s="227" t="s">
        <v>451</v>
      </c>
      <c r="D34" s="227"/>
      <c r="E34" s="227" t="s">
        <v>527</v>
      </c>
      <c r="F34" s="278"/>
    </row>
    <row r="35" spans="2:6" x14ac:dyDescent="0.4">
      <c r="B35" s="284"/>
      <c r="C35" s="227" t="s">
        <v>452</v>
      </c>
      <c r="D35" s="227"/>
      <c r="E35" s="227" t="s">
        <v>528</v>
      </c>
      <c r="F35" s="278"/>
    </row>
    <row r="36" spans="2:6" x14ac:dyDescent="0.4">
      <c r="B36" s="285"/>
      <c r="C36" s="227" t="s">
        <v>453</v>
      </c>
      <c r="D36" s="227"/>
      <c r="E36" s="227" t="s">
        <v>529</v>
      </c>
      <c r="F36" s="278"/>
    </row>
    <row r="37" spans="2:6" x14ac:dyDescent="0.4">
      <c r="B37" s="229" t="s">
        <v>315</v>
      </c>
      <c r="C37" s="227" t="s">
        <v>454</v>
      </c>
      <c r="D37" s="227"/>
      <c r="E37" s="227" t="s">
        <v>530</v>
      </c>
      <c r="F37" s="278"/>
    </row>
    <row r="38" spans="2:6" x14ac:dyDescent="0.4">
      <c r="B38" s="283" t="s">
        <v>313</v>
      </c>
      <c r="C38" s="227" t="s">
        <v>455</v>
      </c>
      <c r="D38" s="227" t="s">
        <v>503</v>
      </c>
      <c r="E38" s="227" t="s">
        <v>834</v>
      </c>
      <c r="F38" s="278"/>
    </row>
    <row r="39" spans="2:6" x14ac:dyDescent="0.4">
      <c r="B39" s="285"/>
      <c r="C39" s="227" t="s">
        <v>456</v>
      </c>
      <c r="D39" s="227"/>
      <c r="E39" s="276" t="s">
        <v>835</v>
      </c>
      <c r="F39" s="278"/>
    </row>
    <row r="40" spans="2:6" x14ac:dyDescent="0.4">
      <c r="B40" s="283" t="s">
        <v>307</v>
      </c>
      <c r="C40" s="227" t="s">
        <v>457</v>
      </c>
      <c r="D40" s="227" t="s">
        <v>504</v>
      </c>
      <c r="E40" s="227" t="s">
        <v>531</v>
      </c>
      <c r="F40" s="278"/>
    </row>
    <row r="41" spans="2:6" x14ac:dyDescent="0.4">
      <c r="B41" s="284"/>
      <c r="C41" s="227" t="s">
        <v>458</v>
      </c>
      <c r="D41" s="227" t="s">
        <v>458</v>
      </c>
      <c r="E41" s="227" t="s">
        <v>836</v>
      </c>
      <c r="F41" s="278"/>
    </row>
    <row r="42" spans="2:6" x14ac:dyDescent="0.4">
      <c r="B42" s="284"/>
      <c r="C42" s="227" t="s">
        <v>459</v>
      </c>
      <c r="D42" s="227" t="s">
        <v>505</v>
      </c>
      <c r="E42" s="227" t="s">
        <v>532</v>
      </c>
      <c r="F42" s="278"/>
    </row>
    <row r="43" spans="2:6" ht="24.6" x14ac:dyDescent="0.4">
      <c r="B43" s="284"/>
      <c r="C43" s="227" t="s">
        <v>460</v>
      </c>
      <c r="D43" s="227" t="s">
        <v>505</v>
      </c>
      <c r="E43" s="227" t="s">
        <v>837</v>
      </c>
      <c r="F43" s="278"/>
    </row>
    <row r="44" spans="2:6" ht="24.6" x14ac:dyDescent="0.4">
      <c r="B44" s="285"/>
      <c r="C44" s="227" t="s">
        <v>461</v>
      </c>
      <c r="D44" s="227" t="s">
        <v>838</v>
      </c>
      <c r="E44" s="227" t="s">
        <v>839</v>
      </c>
      <c r="F44" s="278" t="s">
        <v>543</v>
      </c>
    </row>
    <row r="45" spans="2:6" x14ac:dyDescent="0.4">
      <c r="B45" s="283" t="s">
        <v>308</v>
      </c>
      <c r="C45" s="227" t="s">
        <v>483</v>
      </c>
      <c r="D45" s="227" t="s">
        <v>533</v>
      </c>
      <c r="E45" s="227" t="s">
        <v>840</v>
      </c>
      <c r="F45" s="278"/>
    </row>
    <row r="46" spans="2:6" x14ac:dyDescent="0.4">
      <c r="B46" s="285"/>
      <c r="C46" s="227" t="s">
        <v>462</v>
      </c>
      <c r="D46" s="227" t="s">
        <v>506</v>
      </c>
      <c r="E46" s="227" t="s">
        <v>534</v>
      </c>
      <c r="F46" s="278"/>
    </row>
    <row r="47" spans="2:6" ht="24.6" x14ac:dyDescent="0.4">
      <c r="B47" s="229" t="s">
        <v>309</v>
      </c>
      <c r="C47" s="227" t="s">
        <v>463</v>
      </c>
      <c r="D47" s="227" t="s">
        <v>507</v>
      </c>
      <c r="E47" s="227" t="s">
        <v>535</v>
      </c>
      <c r="F47" s="278"/>
    </row>
    <row r="48" spans="2:6" x14ac:dyDescent="0.4">
      <c r="B48" s="283" t="s">
        <v>310</v>
      </c>
      <c r="C48" s="227" t="s">
        <v>464</v>
      </c>
      <c r="D48" s="227" t="s">
        <v>464</v>
      </c>
      <c r="E48" s="227" t="s">
        <v>841</v>
      </c>
      <c r="F48" s="278"/>
    </row>
    <row r="49" spans="2:6" x14ac:dyDescent="0.4">
      <c r="B49" s="284"/>
      <c r="C49" s="227" t="s">
        <v>465</v>
      </c>
      <c r="D49" s="227" t="s">
        <v>508</v>
      </c>
      <c r="E49" s="227" t="s">
        <v>536</v>
      </c>
      <c r="F49" s="278"/>
    </row>
    <row r="50" spans="2:6" x14ac:dyDescent="0.4">
      <c r="B50" s="285"/>
      <c r="C50" s="227" t="s">
        <v>466</v>
      </c>
      <c r="D50" s="227" t="s">
        <v>509</v>
      </c>
      <c r="E50" s="227" t="s">
        <v>537</v>
      </c>
      <c r="F50" s="278"/>
    </row>
    <row r="51" spans="2:6" x14ac:dyDescent="0.4">
      <c r="B51" s="283" t="s">
        <v>311</v>
      </c>
      <c r="C51" s="227" t="s">
        <v>467</v>
      </c>
      <c r="D51" s="227" t="s">
        <v>510</v>
      </c>
      <c r="E51" s="227" t="s">
        <v>842</v>
      </c>
      <c r="F51" s="278"/>
    </row>
    <row r="52" spans="2:6" x14ac:dyDescent="0.4">
      <c r="B52" s="284"/>
      <c r="C52" s="227" t="s">
        <v>468</v>
      </c>
      <c r="D52" s="227" t="s">
        <v>23</v>
      </c>
      <c r="E52" s="227" t="s">
        <v>538</v>
      </c>
      <c r="F52" s="278"/>
    </row>
    <row r="53" spans="2:6" x14ac:dyDescent="0.4">
      <c r="B53" s="285"/>
      <c r="C53" s="227" t="s">
        <v>469</v>
      </c>
      <c r="D53" s="227" t="s">
        <v>511</v>
      </c>
      <c r="E53" s="227" t="s">
        <v>539</v>
      </c>
      <c r="F53" s="278"/>
    </row>
    <row r="54" spans="2:6" x14ac:dyDescent="0.4">
      <c r="B54" s="229" t="s">
        <v>389</v>
      </c>
      <c r="C54" s="227" t="s">
        <v>470</v>
      </c>
      <c r="D54" s="227" t="s">
        <v>512</v>
      </c>
      <c r="E54" s="227" t="s">
        <v>843</v>
      </c>
      <c r="F54" s="278"/>
    </row>
    <row r="55" spans="2:6" x14ac:dyDescent="0.4">
      <c r="B55" s="229" t="s">
        <v>484</v>
      </c>
      <c r="C55" s="227" t="s">
        <v>471</v>
      </c>
      <c r="D55" s="227" t="s">
        <v>513</v>
      </c>
      <c r="E55" s="227" t="s">
        <v>844</v>
      </c>
      <c r="F55" s="278"/>
    </row>
    <row r="56" spans="2:6" x14ac:dyDescent="0.4">
      <c r="B56" s="236" t="s">
        <v>386</v>
      </c>
      <c r="C56" s="237" t="s">
        <v>472</v>
      </c>
      <c r="D56" s="237" t="s">
        <v>514</v>
      </c>
      <c r="E56" s="237" t="s">
        <v>845</v>
      </c>
      <c r="F56" s="287"/>
    </row>
  </sheetData>
  <sheetProtection sheet="1" objects="1" scenarios="1"/>
  <mergeCells count="18">
    <mergeCell ref="B5:F5"/>
    <mergeCell ref="C6:D6"/>
    <mergeCell ref="B8:B10"/>
    <mergeCell ref="B12:B15"/>
    <mergeCell ref="F8:F10"/>
    <mergeCell ref="B20:B21"/>
    <mergeCell ref="B22:B23"/>
    <mergeCell ref="B25:B26"/>
    <mergeCell ref="B48:B50"/>
    <mergeCell ref="F17:F18"/>
    <mergeCell ref="B32:F32"/>
    <mergeCell ref="B27:B28"/>
    <mergeCell ref="B17:B18"/>
    <mergeCell ref="B51:B53"/>
    <mergeCell ref="B38:B39"/>
    <mergeCell ref="B40:B44"/>
    <mergeCell ref="B45:B46"/>
    <mergeCell ref="B33:B36"/>
  </mergeCells>
  <hyperlinks>
    <hyperlink ref="A1" location="'Spis treści'!A1" display="'Spis treści'!A1" xr:uid="{00000000-0004-0000-1100-000000000000}"/>
  </hyperlink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Arkusz22"/>
  <dimension ref="A1:A3"/>
  <sheetViews>
    <sheetView workbookViewId="0">
      <selection activeCell="A3" sqref="A3"/>
    </sheetView>
  </sheetViews>
  <sheetFormatPr defaultColWidth="9.1640625" defaultRowHeight="12.3" x14ac:dyDescent="0.4"/>
  <cols>
    <col min="1" max="16384" width="9.1640625" style="27"/>
  </cols>
  <sheetData>
    <row r="1" spans="1:1" s="76" customFormat="1" ht="17.399999999999999" x14ac:dyDescent="0.55000000000000004">
      <c r="A1" s="75" t="s">
        <v>27</v>
      </c>
    </row>
    <row r="2" spans="1:1" s="76" customFormat="1" ht="17.399999999999999" x14ac:dyDescent="0.55000000000000004"/>
    <row r="3" spans="1:1" s="76" customFormat="1" ht="19.8" x14ac:dyDescent="0.65">
      <c r="A3" s="74" t="s">
        <v>38</v>
      </c>
    </row>
  </sheetData>
  <sheetProtection sheet="1" objects="1" scenarios="1"/>
  <hyperlinks>
    <hyperlink ref="A1" location="'Spis treści'!A1" display="'Spis treści'!A1" xr:uid="{00000000-0004-0000-1200-000000000000}"/>
  </hyperlinks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5"/>
  <dimension ref="A1:G11"/>
  <sheetViews>
    <sheetView zoomScaleNormal="100" workbookViewId="0">
      <selection activeCell="C6" sqref="C6"/>
    </sheetView>
  </sheetViews>
  <sheetFormatPr defaultColWidth="17.71875" defaultRowHeight="17.399999999999999" x14ac:dyDescent="0.55000000000000004"/>
  <cols>
    <col min="1" max="1" width="7.71875" style="76" customWidth="1"/>
    <col min="2" max="16384" width="17.71875" style="76"/>
  </cols>
  <sheetData>
    <row r="1" spans="1:7" x14ac:dyDescent="0.55000000000000004">
      <c r="A1" s="75" t="s">
        <v>27</v>
      </c>
    </row>
    <row r="3" spans="1:7" ht="19.8" x14ac:dyDescent="0.65">
      <c r="A3" s="74" t="s">
        <v>696</v>
      </c>
    </row>
    <row r="5" spans="1:7" ht="25" customHeight="1" x14ac:dyDescent="0.55000000000000004">
      <c r="B5" s="77"/>
      <c r="C5" s="151" t="s">
        <v>26</v>
      </c>
      <c r="D5" s="151" t="s">
        <v>22</v>
      </c>
      <c r="E5" s="151" t="s">
        <v>23</v>
      </c>
      <c r="F5" s="151" t="s">
        <v>24</v>
      </c>
      <c r="G5" s="152" t="s">
        <v>25</v>
      </c>
    </row>
    <row r="6" spans="1:7" ht="25" customHeight="1" x14ac:dyDescent="0.55000000000000004">
      <c r="B6" s="78"/>
      <c r="C6" s="79"/>
      <c r="D6" s="79"/>
      <c r="E6" s="79"/>
      <c r="F6" s="79"/>
      <c r="G6" s="80"/>
    </row>
    <row r="7" spans="1:7" ht="25" customHeight="1" x14ac:dyDescent="0.55000000000000004">
      <c r="B7" s="149" t="s">
        <v>26</v>
      </c>
      <c r="C7" s="81" t="str">
        <f>IF(C6&gt;0,C6,"")</f>
        <v/>
      </c>
      <c r="D7" s="81" t="str">
        <f>IF(D6&gt;0,D6*6,"")</f>
        <v/>
      </c>
      <c r="E7" s="81" t="str">
        <f>IF(E6&gt;0,E6/1.852,"")</f>
        <v/>
      </c>
      <c r="F7" s="81" t="str">
        <f>IF(F6&gt;0,F6*60/1852,"")</f>
        <v/>
      </c>
      <c r="G7" s="82" t="str">
        <f>IF(G6&gt;0,G6*3600/1852,"")</f>
        <v/>
      </c>
    </row>
    <row r="8" spans="1:7" ht="25" customHeight="1" x14ac:dyDescent="0.55000000000000004">
      <c r="B8" s="149" t="s">
        <v>22</v>
      </c>
      <c r="C8" s="81" t="str">
        <f>IF(C6&gt;0,C6/6,"")</f>
        <v/>
      </c>
      <c r="D8" s="81" t="str">
        <f>IF(D6&gt;0,D6,"")</f>
        <v/>
      </c>
      <c r="E8" s="81" t="str">
        <f>IF(E6&gt;0,E6/(0.1852*60),"")</f>
        <v/>
      </c>
      <c r="F8" s="81" t="str">
        <f>IF(F6&gt;0,F6/185.2,"")</f>
        <v/>
      </c>
      <c r="G8" s="82" t="str">
        <f>IF(G6&gt;0,G6*60/185.2,"")</f>
        <v/>
      </c>
    </row>
    <row r="9" spans="1:7" ht="25" customHeight="1" x14ac:dyDescent="0.55000000000000004">
      <c r="B9" s="149" t="s">
        <v>23</v>
      </c>
      <c r="C9" s="81" t="str">
        <f>IF(C6&gt;0,C6*1.852,"")</f>
        <v/>
      </c>
      <c r="D9" s="81" t="str">
        <f>IF(D6&gt;0,D6*0.1852*60,"")</f>
        <v/>
      </c>
      <c r="E9" s="81" t="str">
        <f>IF(E6&gt;0,E6,"")</f>
        <v/>
      </c>
      <c r="F9" s="81" t="str">
        <f>IF(F6&gt;0,F6*6/100,"")</f>
        <v/>
      </c>
      <c r="G9" s="82" t="str">
        <f>IF(G6&gt;0,G6*36/10,"")</f>
        <v/>
      </c>
    </row>
    <row r="10" spans="1:7" ht="25" customHeight="1" x14ac:dyDescent="0.55000000000000004">
      <c r="B10" s="149" t="s">
        <v>24</v>
      </c>
      <c r="C10" s="81" t="str">
        <f>IF(C6&gt;0,C6*1852/60,"")</f>
        <v/>
      </c>
      <c r="D10" s="81" t="str">
        <f>IF(D6&gt;0,D6*185.2,"")</f>
        <v/>
      </c>
      <c r="E10" s="81" t="str">
        <f>IF(E6&gt;0,E6*100/6,"")</f>
        <v/>
      </c>
      <c r="F10" s="81" t="str">
        <f>IF(F6&gt;0,F6,"")</f>
        <v/>
      </c>
      <c r="G10" s="82" t="str">
        <f>IF(G6&gt;0,G6*60,"")</f>
        <v/>
      </c>
    </row>
    <row r="11" spans="1:7" ht="25" customHeight="1" x14ac:dyDescent="0.55000000000000004">
      <c r="B11" s="150" t="s">
        <v>25</v>
      </c>
      <c r="C11" s="83" t="str">
        <f>IF(C6&gt;0,C6*1852/3600,"")</f>
        <v/>
      </c>
      <c r="D11" s="83" t="str">
        <f>IF(D6&gt;0,D6*185.2/60,"")</f>
        <v/>
      </c>
      <c r="E11" s="83" t="str">
        <f>IF(E6&gt;0,E6*10/36,"")</f>
        <v/>
      </c>
      <c r="F11" s="83" t="str">
        <f>IF(F6&gt;0,F6/60,"")</f>
        <v/>
      </c>
      <c r="G11" s="84" t="str">
        <f>IF(G6&gt;0,G6,"")</f>
        <v/>
      </c>
    </row>
  </sheetData>
  <sheetProtection sheet="1" objects="1" scenarios="1"/>
  <hyperlinks>
    <hyperlink ref="A1" location="'Spis treści'!A1" display="'Spis treści'!A1" xr:uid="{00000000-0004-0000-0100-000000000000}"/>
  </hyperlinks>
  <pageMargins left="0.75" right="0.75" top="1" bottom="1" header="0.5" footer="0.5"/>
  <pageSetup paperSize="9" orientation="portrait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usz23"/>
  <dimension ref="A1:A3"/>
  <sheetViews>
    <sheetView workbookViewId="0">
      <selection activeCell="A3" sqref="A3"/>
    </sheetView>
  </sheetViews>
  <sheetFormatPr defaultColWidth="9.1640625" defaultRowHeight="12.3" x14ac:dyDescent="0.4"/>
  <cols>
    <col min="1" max="16384" width="9.1640625" style="27"/>
  </cols>
  <sheetData>
    <row r="1" spans="1:1" s="76" customFormat="1" ht="17.399999999999999" x14ac:dyDescent="0.55000000000000004">
      <c r="A1" s="75" t="s">
        <v>27</v>
      </c>
    </row>
    <row r="2" spans="1:1" s="76" customFormat="1" ht="17.399999999999999" x14ac:dyDescent="0.55000000000000004"/>
    <row r="3" spans="1:1" s="76" customFormat="1" ht="19.8" x14ac:dyDescent="0.65">
      <c r="A3" s="74" t="s">
        <v>39</v>
      </c>
    </row>
  </sheetData>
  <sheetProtection sheet="1" objects="1" scenarios="1"/>
  <hyperlinks>
    <hyperlink ref="A1" location="'Spis treści'!A1" display="'Spis treści'!A1" xr:uid="{00000000-0004-0000-1300-000000000000}"/>
  </hyperlinks>
  <pageMargins left="0.75" right="0.75" top="1" bottom="1" header="0.5" footer="0.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Arkusz24"/>
  <dimension ref="A1:L91"/>
  <sheetViews>
    <sheetView workbookViewId="0">
      <selection activeCell="A3" sqref="A3"/>
    </sheetView>
  </sheetViews>
  <sheetFormatPr defaultColWidth="15.71875" defaultRowHeight="15" x14ac:dyDescent="0.5"/>
  <cols>
    <col min="1" max="1" width="2.71875" style="12" customWidth="1"/>
    <col min="2" max="2" width="13.71875" style="12" customWidth="1"/>
    <col min="3" max="3" width="10.71875" style="12" customWidth="1"/>
    <col min="4" max="4" width="12.71875" style="12" customWidth="1"/>
    <col min="5" max="6" width="15.71875" style="12" customWidth="1"/>
    <col min="7" max="7" width="0.71875" style="12" customWidth="1"/>
    <col min="8" max="8" width="13.71875" style="12" customWidth="1"/>
    <col min="9" max="9" width="10.71875" style="12" customWidth="1"/>
    <col min="10" max="10" width="12.71875" style="12" customWidth="1"/>
    <col min="11" max="16384" width="15.71875" style="12"/>
  </cols>
  <sheetData>
    <row r="1" spans="1:1" s="76" customFormat="1" ht="17.399999999999999" x14ac:dyDescent="0.55000000000000004">
      <c r="A1" s="75" t="s">
        <v>27</v>
      </c>
    </row>
    <row r="2" spans="1:1" s="76" customFormat="1" ht="17.399999999999999" x14ac:dyDescent="0.55000000000000004"/>
    <row r="3" spans="1:1" s="76" customFormat="1" ht="19.8" x14ac:dyDescent="0.65">
      <c r="A3" s="74" t="s">
        <v>42</v>
      </c>
    </row>
    <row r="38" spans="2:12" s="16" customFormat="1" ht="30" x14ac:dyDescent="0.5">
      <c r="B38" s="13" t="s">
        <v>40</v>
      </c>
      <c r="C38" s="14" t="s">
        <v>43</v>
      </c>
      <c r="D38" s="14" t="s">
        <v>41</v>
      </c>
      <c r="E38" s="14" t="s">
        <v>44</v>
      </c>
      <c r="F38" s="14" t="s">
        <v>149</v>
      </c>
      <c r="G38" s="13"/>
      <c r="H38" s="13" t="s">
        <v>40</v>
      </c>
      <c r="I38" s="14" t="s">
        <v>43</v>
      </c>
      <c r="J38" s="14" t="s">
        <v>41</v>
      </c>
      <c r="K38" s="14" t="s">
        <v>44</v>
      </c>
      <c r="L38" s="15" t="s">
        <v>149</v>
      </c>
    </row>
    <row r="39" spans="2:12" s="16" customFormat="1" ht="20.100000000000001" customHeight="1" x14ac:dyDescent="0.5">
      <c r="B39" s="17">
        <v>0</v>
      </c>
      <c r="C39" s="18">
        <v>0</v>
      </c>
      <c r="D39" s="18" t="s">
        <v>45</v>
      </c>
      <c r="E39" s="19" t="s">
        <v>77</v>
      </c>
      <c r="F39" s="19" t="s">
        <v>118</v>
      </c>
      <c r="G39" s="20"/>
      <c r="H39" s="17">
        <v>180</v>
      </c>
      <c r="I39" s="18">
        <v>16</v>
      </c>
      <c r="J39" s="18" t="s">
        <v>61</v>
      </c>
      <c r="K39" s="19" t="s">
        <v>94</v>
      </c>
      <c r="L39" s="21" t="s">
        <v>127</v>
      </c>
    </row>
    <row r="40" spans="2:12" s="16" customFormat="1" ht="20.100000000000001" customHeight="1" x14ac:dyDescent="0.5">
      <c r="B40" s="17">
        <v>11.25</v>
      </c>
      <c r="C40" s="18">
        <v>1</v>
      </c>
      <c r="D40" s="18" t="s">
        <v>46</v>
      </c>
      <c r="E40" s="19" t="s">
        <v>78</v>
      </c>
      <c r="F40" s="19" t="s">
        <v>117</v>
      </c>
      <c r="G40" s="20"/>
      <c r="H40" s="17">
        <v>191.25</v>
      </c>
      <c r="I40" s="18">
        <v>17</v>
      </c>
      <c r="J40" s="18" t="s">
        <v>62</v>
      </c>
      <c r="K40" s="19" t="s">
        <v>95</v>
      </c>
      <c r="L40" s="21" t="s">
        <v>128</v>
      </c>
    </row>
    <row r="41" spans="2:12" s="16" customFormat="1" ht="20.100000000000001" customHeight="1" x14ac:dyDescent="0.5">
      <c r="B41" s="17">
        <v>22.5</v>
      </c>
      <c r="C41" s="18">
        <v>2</v>
      </c>
      <c r="D41" s="18" t="s">
        <v>47</v>
      </c>
      <c r="E41" s="19" t="s">
        <v>79</v>
      </c>
      <c r="F41" s="19" t="s">
        <v>111</v>
      </c>
      <c r="G41" s="20"/>
      <c r="H41" s="17">
        <v>202.5</v>
      </c>
      <c r="I41" s="18">
        <v>18</v>
      </c>
      <c r="J41" s="18" t="s">
        <v>63</v>
      </c>
      <c r="K41" s="19" t="s">
        <v>96</v>
      </c>
      <c r="L41" s="21" t="s">
        <v>129</v>
      </c>
    </row>
    <row r="42" spans="2:12" s="16" customFormat="1" ht="20.100000000000001" customHeight="1" x14ac:dyDescent="0.5">
      <c r="B42" s="17">
        <v>33.75</v>
      </c>
      <c r="C42" s="18">
        <v>3</v>
      </c>
      <c r="D42" s="18" t="s">
        <v>48</v>
      </c>
      <c r="E42" s="19" t="s">
        <v>80</v>
      </c>
      <c r="F42" s="19" t="s">
        <v>112</v>
      </c>
      <c r="G42" s="20"/>
      <c r="H42" s="17">
        <v>213.75</v>
      </c>
      <c r="I42" s="18">
        <v>19</v>
      </c>
      <c r="J42" s="18" t="s">
        <v>64</v>
      </c>
      <c r="K42" s="19" t="s">
        <v>97</v>
      </c>
      <c r="L42" s="21" t="s">
        <v>130</v>
      </c>
    </row>
    <row r="43" spans="2:12" s="16" customFormat="1" ht="20.100000000000001" customHeight="1" x14ac:dyDescent="0.5">
      <c r="B43" s="17">
        <v>45</v>
      </c>
      <c r="C43" s="18">
        <v>4</v>
      </c>
      <c r="D43" s="18" t="s">
        <v>49</v>
      </c>
      <c r="E43" s="19" t="s">
        <v>81</v>
      </c>
      <c r="F43" s="19" t="s">
        <v>113</v>
      </c>
      <c r="G43" s="20"/>
      <c r="H43" s="17">
        <v>225</v>
      </c>
      <c r="I43" s="18">
        <v>20</v>
      </c>
      <c r="J43" s="18" t="s">
        <v>65</v>
      </c>
      <c r="K43" s="19" t="s">
        <v>98</v>
      </c>
      <c r="L43" s="21" t="s">
        <v>131</v>
      </c>
    </row>
    <row r="44" spans="2:12" s="16" customFormat="1" ht="20.100000000000001" customHeight="1" x14ac:dyDescent="0.5">
      <c r="B44" s="17">
        <v>56.25</v>
      </c>
      <c r="C44" s="18">
        <v>5</v>
      </c>
      <c r="D44" s="18" t="s">
        <v>50</v>
      </c>
      <c r="E44" s="19" t="s">
        <v>82</v>
      </c>
      <c r="F44" s="19" t="s">
        <v>114</v>
      </c>
      <c r="G44" s="20"/>
      <c r="H44" s="17">
        <v>236.25</v>
      </c>
      <c r="I44" s="18">
        <v>21</v>
      </c>
      <c r="J44" s="18" t="s">
        <v>66</v>
      </c>
      <c r="K44" s="19" t="s">
        <v>101</v>
      </c>
      <c r="L44" s="21" t="s">
        <v>132</v>
      </c>
    </row>
    <row r="45" spans="2:12" s="16" customFormat="1" ht="20.100000000000001" customHeight="1" x14ac:dyDescent="0.5">
      <c r="B45" s="17">
        <v>67.5</v>
      </c>
      <c r="C45" s="18">
        <v>6</v>
      </c>
      <c r="D45" s="18" t="s">
        <v>51</v>
      </c>
      <c r="E45" s="19" t="s">
        <v>83</v>
      </c>
      <c r="F45" s="19" t="s">
        <v>115</v>
      </c>
      <c r="G45" s="20"/>
      <c r="H45" s="17">
        <v>247.5</v>
      </c>
      <c r="I45" s="18">
        <v>22</v>
      </c>
      <c r="J45" s="18" t="s">
        <v>67</v>
      </c>
      <c r="K45" s="19" t="s">
        <v>99</v>
      </c>
      <c r="L45" s="21" t="s">
        <v>133</v>
      </c>
    </row>
    <row r="46" spans="2:12" s="16" customFormat="1" ht="20.100000000000001" customHeight="1" x14ac:dyDescent="0.5">
      <c r="B46" s="17">
        <v>78.75</v>
      </c>
      <c r="C46" s="18">
        <v>7</v>
      </c>
      <c r="D46" s="18" t="s">
        <v>52</v>
      </c>
      <c r="E46" s="19" t="s">
        <v>84</v>
      </c>
      <c r="F46" s="19" t="s">
        <v>116</v>
      </c>
      <c r="G46" s="20"/>
      <c r="H46" s="17">
        <v>258.75</v>
      </c>
      <c r="I46" s="18">
        <v>23</v>
      </c>
      <c r="J46" s="18" t="s">
        <v>68</v>
      </c>
      <c r="K46" s="19" t="s">
        <v>100</v>
      </c>
      <c r="L46" s="21" t="s">
        <v>134</v>
      </c>
    </row>
    <row r="47" spans="2:12" s="16" customFormat="1" ht="20.100000000000001" customHeight="1" x14ac:dyDescent="0.5">
      <c r="B47" s="17">
        <v>90</v>
      </c>
      <c r="C47" s="18">
        <v>8</v>
      </c>
      <c r="D47" s="18" t="s">
        <v>53</v>
      </c>
      <c r="E47" s="19" t="s">
        <v>85</v>
      </c>
      <c r="F47" s="19" t="s">
        <v>137</v>
      </c>
      <c r="G47" s="20"/>
      <c r="H47" s="17">
        <v>270</v>
      </c>
      <c r="I47" s="18">
        <v>24</v>
      </c>
      <c r="J47" s="18" t="s">
        <v>69</v>
      </c>
      <c r="K47" s="19" t="s">
        <v>102</v>
      </c>
      <c r="L47" s="21" t="s">
        <v>135</v>
      </c>
    </row>
    <row r="48" spans="2:12" s="16" customFormat="1" ht="20.100000000000001" customHeight="1" x14ac:dyDescent="0.5">
      <c r="B48" s="17">
        <v>90</v>
      </c>
      <c r="C48" s="18">
        <v>8</v>
      </c>
      <c r="D48" s="18" t="s">
        <v>53</v>
      </c>
      <c r="E48" s="19" t="s">
        <v>85</v>
      </c>
      <c r="F48" s="19" t="s">
        <v>119</v>
      </c>
      <c r="G48" s="20"/>
      <c r="H48" s="17">
        <v>270</v>
      </c>
      <c r="I48" s="18">
        <v>24</v>
      </c>
      <c r="J48" s="18" t="s">
        <v>69</v>
      </c>
      <c r="K48" s="19" t="s">
        <v>102</v>
      </c>
      <c r="L48" s="21" t="s">
        <v>138</v>
      </c>
    </row>
    <row r="49" spans="2:12" s="16" customFormat="1" ht="20.100000000000001" customHeight="1" x14ac:dyDescent="0.5">
      <c r="B49" s="17">
        <v>101.25</v>
      </c>
      <c r="C49" s="18">
        <v>9</v>
      </c>
      <c r="D49" s="18" t="s">
        <v>54</v>
      </c>
      <c r="E49" s="19" t="s">
        <v>86</v>
      </c>
      <c r="F49" s="19" t="s">
        <v>120</v>
      </c>
      <c r="G49" s="20"/>
      <c r="H49" s="17">
        <v>281.25</v>
      </c>
      <c r="I49" s="18">
        <v>25</v>
      </c>
      <c r="J49" s="18" t="s">
        <v>70</v>
      </c>
      <c r="K49" s="19" t="s">
        <v>103</v>
      </c>
      <c r="L49" s="21" t="s">
        <v>139</v>
      </c>
    </row>
    <row r="50" spans="2:12" s="16" customFormat="1" ht="20.100000000000001" customHeight="1" x14ac:dyDescent="0.5">
      <c r="B50" s="17">
        <v>112.5</v>
      </c>
      <c r="C50" s="18">
        <v>10</v>
      </c>
      <c r="D50" s="18" t="s">
        <v>55</v>
      </c>
      <c r="E50" s="19" t="s">
        <v>87</v>
      </c>
      <c r="F50" s="19" t="s">
        <v>121</v>
      </c>
      <c r="G50" s="20"/>
      <c r="H50" s="17">
        <v>292.5</v>
      </c>
      <c r="I50" s="18">
        <v>26</v>
      </c>
      <c r="J50" s="18" t="s">
        <v>71</v>
      </c>
      <c r="K50" s="19" t="s">
        <v>104</v>
      </c>
      <c r="L50" s="21" t="s">
        <v>140</v>
      </c>
    </row>
    <row r="51" spans="2:12" s="16" customFormat="1" ht="20.100000000000001" customHeight="1" x14ac:dyDescent="0.5">
      <c r="B51" s="17">
        <v>123.75</v>
      </c>
      <c r="C51" s="18">
        <v>11</v>
      </c>
      <c r="D51" s="18" t="s">
        <v>56</v>
      </c>
      <c r="E51" s="19" t="s">
        <v>88</v>
      </c>
      <c r="F51" s="19" t="s">
        <v>122</v>
      </c>
      <c r="G51" s="20"/>
      <c r="H51" s="17">
        <v>303.75</v>
      </c>
      <c r="I51" s="18">
        <v>27</v>
      </c>
      <c r="J51" s="18" t="s">
        <v>72</v>
      </c>
      <c r="K51" s="19" t="s">
        <v>105</v>
      </c>
      <c r="L51" s="21" t="s">
        <v>141</v>
      </c>
    </row>
    <row r="52" spans="2:12" s="16" customFormat="1" ht="20.100000000000001" customHeight="1" x14ac:dyDescent="0.5">
      <c r="B52" s="17">
        <v>135</v>
      </c>
      <c r="C52" s="18">
        <v>12</v>
      </c>
      <c r="D52" s="18" t="s">
        <v>57</v>
      </c>
      <c r="E52" s="19" t="s">
        <v>89</v>
      </c>
      <c r="F52" s="19" t="s">
        <v>123</v>
      </c>
      <c r="G52" s="20"/>
      <c r="H52" s="17">
        <v>315</v>
      </c>
      <c r="I52" s="18">
        <v>28</v>
      </c>
      <c r="J52" s="18" t="s">
        <v>73</v>
      </c>
      <c r="K52" s="19" t="s">
        <v>106</v>
      </c>
      <c r="L52" s="21" t="s">
        <v>142</v>
      </c>
    </row>
    <row r="53" spans="2:12" s="16" customFormat="1" ht="20.100000000000001" customHeight="1" x14ac:dyDescent="0.5">
      <c r="B53" s="17">
        <v>146.25</v>
      </c>
      <c r="C53" s="18">
        <v>13</v>
      </c>
      <c r="D53" s="18" t="s">
        <v>58</v>
      </c>
      <c r="E53" s="19" t="s">
        <v>90</v>
      </c>
      <c r="F53" s="19" t="s">
        <v>124</v>
      </c>
      <c r="G53" s="20"/>
      <c r="H53" s="17">
        <v>326.25</v>
      </c>
      <c r="I53" s="18">
        <v>29</v>
      </c>
      <c r="J53" s="18" t="s">
        <v>74</v>
      </c>
      <c r="K53" s="19" t="s">
        <v>107</v>
      </c>
      <c r="L53" s="21" t="s">
        <v>143</v>
      </c>
    </row>
    <row r="54" spans="2:12" s="16" customFormat="1" ht="20.100000000000001" customHeight="1" x14ac:dyDescent="0.5">
      <c r="B54" s="17">
        <v>157.5</v>
      </c>
      <c r="C54" s="18">
        <v>14</v>
      </c>
      <c r="D54" s="18" t="s">
        <v>59</v>
      </c>
      <c r="E54" s="19" t="s">
        <v>91</v>
      </c>
      <c r="F54" s="19" t="s">
        <v>125</v>
      </c>
      <c r="G54" s="20"/>
      <c r="H54" s="17">
        <v>337.5</v>
      </c>
      <c r="I54" s="18">
        <v>30</v>
      </c>
      <c r="J54" s="18" t="s">
        <v>75</v>
      </c>
      <c r="K54" s="19" t="s">
        <v>108</v>
      </c>
      <c r="L54" s="21" t="s">
        <v>144</v>
      </c>
    </row>
    <row r="55" spans="2:12" s="16" customFormat="1" ht="20.100000000000001" customHeight="1" x14ac:dyDescent="0.5">
      <c r="B55" s="17">
        <v>168.75</v>
      </c>
      <c r="C55" s="18">
        <v>15</v>
      </c>
      <c r="D55" s="18" t="s">
        <v>60</v>
      </c>
      <c r="E55" s="19" t="s">
        <v>92</v>
      </c>
      <c r="F55" s="19" t="s">
        <v>126</v>
      </c>
      <c r="G55" s="20"/>
      <c r="H55" s="17">
        <v>348.75</v>
      </c>
      <c r="I55" s="18">
        <v>31</v>
      </c>
      <c r="J55" s="18" t="s">
        <v>76</v>
      </c>
      <c r="K55" s="19" t="s">
        <v>109</v>
      </c>
      <c r="L55" s="21" t="s">
        <v>145</v>
      </c>
    </row>
    <row r="56" spans="2:12" s="16" customFormat="1" ht="20.100000000000001" customHeight="1" x14ac:dyDescent="0.5">
      <c r="B56" s="22">
        <v>180</v>
      </c>
      <c r="C56" s="23">
        <v>16</v>
      </c>
      <c r="D56" s="23" t="s">
        <v>61</v>
      </c>
      <c r="E56" s="24" t="s">
        <v>93</v>
      </c>
      <c r="F56" s="24" t="s">
        <v>136</v>
      </c>
      <c r="G56" s="25"/>
      <c r="H56" s="22">
        <v>360</v>
      </c>
      <c r="I56" s="23">
        <v>32</v>
      </c>
      <c r="J56" s="23" t="s">
        <v>45</v>
      </c>
      <c r="K56" s="24" t="s">
        <v>110</v>
      </c>
      <c r="L56" s="26" t="s">
        <v>146</v>
      </c>
    </row>
    <row r="57" spans="2:12" s="16" customFormat="1" ht="20.100000000000001" customHeight="1" x14ac:dyDescent="0.5"/>
    <row r="58" spans="2:12" s="16" customFormat="1" ht="20.100000000000001" customHeight="1" x14ac:dyDescent="0.5"/>
    <row r="59" spans="2:12" s="16" customFormat="1" ht="20.100000000000001" customHeight="1" x14ac:dyDescent="0.5"/>
    <row r="60" spans="2:12" s="16" customFormat="1" ht="20.100000000000001" customHeight="1" x14ac:dyDescent="0.5"/>
    <row r="61" spans="2:12" s="16" customFormat="1" ht="20.100000000000001" customHeight="1" x14ac:dyDescent="0.5"/>
    <row r="62" spans="2:12" s="16" customFormat="1" ht="20.100000000000001" customHeight="1" x14ac:dyDescent="0.5"/>
    <row r="63" spans="2:12" s="16" customFormat="1" ht="20.100000000000001" customHeight="1" x14ac:dyDescent="0.5"/>
    <row r="64" spans="2:12" s="16" customFormat="1" ht="20.100000000000001" customHeight="1" x14ac:dyDescent="0.5"/>
    <row r="65" s="16" customFormat="1" ht="20.100000000000001" customHeight="1" x14ac:dyDescent="0.5"/>
    <row r="66" s="16" customFormat="1" ht="20.100000000000001" customHeight="1" x14ac:dyDescent="0.5"/>
    <row r="67" s="16" customFormat="1" ht="20.100000000000001" customHeight="1" x14ac:dyDescent="0.5"/>
    <row r="68" s="16" customFormat="1" ht="20.100000000000001" customHeight="1" x14ac:dyDescent="0.5"/>
    <row r="69" s="16" customFormat="1" ht="20.100000000000001" customHeight="1" x14ac:dyDescent="0.5"/>
    <row r="70" s="16" customFormat="1" ht="20.100000000000001" customHeight="1" x14ac:dyDescent="0.5"/>
    <row r="71" s="16" customFormat="1" ht="20.100000000000001" customHeight="1" x14ac:dyDescent="0.5"/>
    <row r="72" s="16" customFormat="1" ht="20.100000000000001" customHeight="1" x14ac:dyDescent="0.5"/>
    <row r="73" s="16" customFormat="1" ht="20.100000000000001" customHeight="1" x14ac:dyDescent="0.5"/>
    <row r="74" s="16" customFormat="1" ht="20.100000000000001" customHeight="1" x14ac:dyDescent="0.5"/>
    <row r="75" s="16" customFormat="1" ht="20.100000000000001" customHeight="1" x14ac:dyDescent="0.5"/>
    <row r="76" s="16" customFormat="1" ht="20.100000000000001" customHeight="1" x14ac:dyDescent="0.5"/>
    <row r="77" s="16" customFormat="1" ht="20.100000000000001" customHeight="1" x14ac:dyDescent="0.5"/>
    <row r="78" s="16" customFormat="1" ht="20.100000000000001" customHeight="1" x14ac:dyDescent="0.5"/>
    <row r="79" s="16" customFormat="1" ht="20.100000000000001" customHeight="1" x14ac:dyDescent="0.5"/>
    <row r="80" s="16" customFormat="1" ht="20.100000000000001" customHeight="1" x14ac:dyDescent="0.5"/>
    <row r="81" s="16" customFormat="1" ht="20.100000000000001" customHeight="1" x14ac:dyDescent="0.5"/>
    <row r="82" s="16" customFormat="1" ht="20.100000000000001" customHeight="1" x14ac:dyDescent="0.5"/>
    <row r="83" s="16" customFormat="1" ht="20.100000000000001" customHeight="1" x14ac:dyDescent="0.5"/>
    <row r="84" s="16" customFormat="1" ht="20.100000000000001" customHeight="1" x14ac:dyDescent="0.5"/>
    <row r="85" s="16" customFormat="1" ht="20.100000000000001" customHeight="1" x14ac:dyDescent="0.5"/>
    <row r="86" s="16" customFormat="1" ht="20.100000000000001" customHeight="1" x14ac:dyDescent="0.5"/>
    <row r="87" s="16" customFormat="1" ht="20.100000000000001" customHeight="1" x14ac:dyDescent="0.5"/>
    <row r="88" s="16" customFormat="1" ht="20.100000000000001" customHeight="1" x14ac:dyDescent="0.5"/>
    <row r="89" s="16" customFormat="1" ht="20.100000000000001" customHeight="1" x14ac:dyDescent="0.5"/>
    <row r="90" s="16" customFormat="1" ht="20.100000000000001" customHeight="1" x14ac:dyDescent="0.5"/>
    <row r="91" s="16" customFormat="1" ht="20.100000000000001" customHeight="1" x14ac:dyDescent="0.5"/>
  </sheetData>
  <sheetProtection sheet="1" objects="1" scenarios="1"/>
  <hyperlinks>
    <hyperlink ref="A1" location="'Spis treści'!A1" display="'Spis treści'!A1" xr:uid="{00000000-0004-0000-1400-000000000000}"/>
  </hyperlinks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6"/>
  <dimension ref="A1:L26"/>
  <sheetViews>
    <sheetView zoomScaleNormal="100" workbookViewId="0">
      <pane xSplit="1" ySplit="6" topLeftCell="B7" activePane="bottomRight" state="frozen"/>
      <selection pane="topRight" activeCell="B1" sqref="B1"/>
      <selection pane="bottomLeft" activeCell="A11" sqref="A11"/>
      <selection pane="bottomRight" activeCell="B6" sqref="B6"/>
    </sheetView>
  </sheetViews>
  <sheetFormatPr defaultColWidth="10.71875" defaultRowHeight="15" x14ac:dyDescent="0.5"/>
  <cols>
    <col min="1" max="1" width="21.27734375" style="7" customWidth="1"/>
    <col min="2" max="12" width="15.71875" style="7" customWidth="1"/>
    <col min="13" max="16384" width="10.71875" style="7"/>
  </cols>
  <sheetData>
    <row r="1" spans="1:12" s="76" customFormat="1" ht="17.399999999999999" x14ac:dyDescent="0.55000000000000004">
      <c r="A1" s="75" t="s">
        <v>27</v>
      </c>
    </row>
    <row r="2" spans="1:12" s="76" customFormat="1" ht="17.399999999999999" x14ac:dyDescent="0.55000000000000004"/>
    <row r="3" spans="1:12" s="76" customFormat="1" ht="19.8" x14ac:dyDescent="0.65">
      <c r="A3" s="74" t="s">
        <v>697</v>
      </c>
    </row>
    <row r="4" spans="1:12" s="76" customFormat="1" ht="17.399999999999999" x14ac:dyDescent="0.55000000000000004"/>
    <row r="5" spans="1:12" s="16" customFormat="1" ht="30" x14ac:dyDescent="0.5">
      <c r="A5" s="153"/>
      <c r="B5" s="153" t="s">
        <v>148</v>
      </c>
      <c r="C5" s="154" t="s">
        <v>29</v>
      </c>
      <c r="D5" s="154" t="s">
        <v>28</v>
      </c>
      <c r="E5" s="154" t="s">
        <v>30</v>
      </c>
      <c r="F5" s="154" t="s">
        <v>31</v>
      </c>
      <c r="G5" s="154" t="s">
        <v>33</v>
      </c>
      <c r="H5" s="154" t="s">
        <v>32</v>
      </c>
      <c r="I5" s="154" t="s">
        <v>34</v>
      </c>
      <c r="J5" s="154" t="s">
        <v>35</v>
      </c>
      <c r="K5" s="154" t="s">
        <v>36</v>
      </c>
      <c r="L5" s="155" t="s">
        <v>147</v>
      </c>
    </row>
    <row r="6" spans="1:12" ht="20.100000000000001" customHeight="1" x14ac:dyDescent="0.5">
      <c r="A6" s="290"/>
      <c r="B6" s="92"/>
      <c r="C6" s="93"/>
      <c r="D6" s="93"/>
      <c r="E6" s="93"/>
      <c r="F6" s="93"/>
      <c r="G6" s="93"/>
      <c r="H6" s="93"/>
      <c r="I6" s="93"/>
      <c r="J6" s="93"/>
      <c r="K6" s="93"/>
      <c r="L6" s="94"/>
    </row>
    <row r="7" spans="1:12" ht="20.100000000000001" customHeight="1" x14ac:dyDescent="0.5">
      <c r="A7" s="291" t="s">
        <v>148</v>
      </c>
      <c r="B7" s="85" t="str">
        <f>IF(B6&gt;0,B6,"")</f>
        <v/>
      </c>
      <c r="C7" s="85" t="str">
        <f>IF(C6&gt;0,C6*100,"")</f>
        <v/>
      </c>
      <c r="D7" s="85" t="str">
        <f>IF(D6&gt;0,D6*100000,"")</f>
        <v/>
      </c>
      <c r="E7" s="85" t="str">
        <f>IF(E6&gt;0,E6*185200,"")</f>
        <v/>
      </c>
      <c r="F7" s="85" t="str">
        <f>IF(F6&gt;0,F6*18520,"")</f>
        <v/>
      </c>
      <c r="G7" s="85" t="str">
        <f>IF(G6&gt;0,G6*182.882224,"")</f>
        <v/>
      </c>
      <c r="H7" s="85" t="str">
        <f>IF(H6&gt;0,H6*30.48,"")</f>
        <v/>
      </c>
      <c r="I7" s="85" t="str">
        <f>IF(I6&gt;0,I6*2.54,"")</f>
        <v/>
      </c>
      <c r="J7" s="85" t="str">
        <f>IF(J6&gt;0,J6*1609344,"")</f>
        <v/>
      </c>
      <c r="K7" s="85" t="str">
        <f>IF(K6&gt;0,K6*91.44,"")</f>
        <v/>
      </c>
      <c r="L7" s="86" t="str">
        <f>IF(L6&gt;0,L6*0.098747*185200,"")</f>
        <v/>
      </c>
    </row>
    <row r="8" spans="1:12" ht="20.100000000000001" customHeight="1" x14ac:dyDescent="0.5">
      <c r="A8" s="158" t="s">
        <v>29</v>
      </c>
      <c r="B8" s="87" t="str">
        <f>IF(B6&gt;0,B6/100,"")</f>
        <v/>
      </c>
      <c r="C8" s="87" t="str">
        <f>IF(C6&gt;0,C6,"")</f>
        <v/>
      </c>
      <c r="D8" s="87" t="str">
        <f>IF(D6&gt;0,D6*1000,"")</f>
        <v/>
      </c>
      <c r="E8" s="87" t="str">
        <f>IF(E6&gt;0,E6*1852,"")</f>
        <v/>
      </c>
      <c r="F8" s="87" t="str">
        <f>IF(F6&gt;0,F6*185.2,"")</f>
        <v/>
      </c>
      <c r="G8" s="88" t="str">
        <f>IF(G6&gt;0,G6*1.82882224,"")</f>
        <v/>
      </c>
      <c r="H8" s="87" t="str">
        <f>IF(H6&gt;0,H6*0.3048,"")</f>
        <v/>
      </c>
      <c r="I8" s="87" t="str">
        <f>IF(I6&gt;0,I6*0.0254,"")</f>
        <v/>
      </c>
      <c r="J8" s="87" t="str">
        <f>IF(J6&gt;0,J6*1609.344,"")</f>
        <v/>
      </c>
      <c r="K8" s="87" t="str">
        <f>IF(K6&gt;0,K6*0.9144,"")</f>
        <v/>
      </c>
      <c r="L8" s="89" t="str">
        <f>IF(L6&gt;0,L6*0.098747*1852,"")</f>
        <v/>
      </c>
    </row>
    <row r="9" spans="1:12" ht="20.100000000000001" customHeight="1" x14ac:dyDescent="0.5">
      <c r="A9" s="158" t="s">
        <v>28</v>
      </c>
      <c r="B9" s="87" t="str">
        <f>IF(B6&gt;0,B6/100000,"")</f>
        <v/>
      </c>
      <c r="C9" s="87" t="str">
        <f>IF(C6&gt;0,C6/1000,"")</f>
        <v/>
      </c>
      <c r="D9" s="87" t="str">
        <f>IF(D6&gt;0,D6,"")</f>
        <v/>
      </c>
      <c r="E9" s="87" t="str">
        <f>IF(E6&gt;0,E6*1.852,"")</f>
        <v/>
      </c>
      <c r="F9" s="87" t="str">
        <f>IF(F6&gt;0,F6*0.1852,"")</f>
        <v/>
      </c>
      <c r="G9" s="88" t="str">
        <f>IF(G6&gt;0,G6*0.00182882224,"")</f>
        <v/>
      </c>
      <c r="H9" s="87" t="str">
        <f>IF(H6&gt;0,H6*0.0003048,"")</f>
        <v/>
      </c>
      <c r="I9" s="87" t="str">
        <f>IF(I6&gt;0,I6*0.0000254,"")</f>
        <v/>
      </c>
      <c r="J9" s="87" t="str">
        <f>IF(J6&gt;0,J6*1.609344,"")</f>
        <v/>
      </c>
      <c r="K9" s="87" t="str">
        <f>IF(K6&gt;0,K6*0.0009144,"")</f>
        <v/>
      </c>
      <c r="L9" s="89" t="str">
        <f>IF(L6&gt;0,L6*0.098747*1.852,"")</f>
        <v/>
      </c>
    </row>
    <row r="10" spans="1:12" ht="20.100000000000001" customHeight="1" x14ac:dyDescent="0.5">
      <c r="A10" s="158" t="s">
        <v>30</v>
      </c>
      <c r="B10" s="87" t="str">
        <f>IF(B6&gt;0,B6/185200,"")</f>
        <v/>
      </c>
      <c r="C10" s="87" t="str">
        <f>IF(C6&gt;0,C6/1852,"")</f>
        <v/>
      </c>
      <c r="D10" s="87" t="str">
        <f>IF(D6&gt;0,D6/1.852,"")</f>
        <v/>
      </c>
      <c r="E10" s="87" t="str">
        <f>IF(E6&gt;0,E6,"")</f>
        <v/>
      </c>
      <c r="F10" s="87" t="str">
        <f>IF(F6&gt;0,F6/10,"")</f>
        <v/>
      </c>
      <c r="G10" s="87" t="str">
        <f>IF(G6&gt;0,G8/1852,"")</f>
        <v/>
      </c>
      <c r="H10" s="87" t="str">
        <f>IF(H6&gt;0,H8/1852,"")</f>
        <v/>
      </c>
      <c r="I10" s="87" t="str">
        <f>IF(I6&gt;0,I8/1852,"")</f>
        <v/>
      </c>
      <c r="J10" s="87" t="str">
        <f>IF(J6&gt;0,J8/1852,"")</f>
        <v/>
      </c>
      <c r="K10" s="87" t="str">
        <f>IF(K6&gt;0,K8/1852,"")</f>
        <v/>
      </c>
      <c r="L10" s="89" t="str">
        <f>IF(L6&gt;0,L6*0.098747,"")</f>
        <v/>
      </c>
    </row>
    <row r="11" spans="1:12" ht="20.100000000000001" customHeight="1" x14ac:dyDescent="0.5">
      <c r="A11" s="158" t="s">
        <v>31</v>
      </c>
      <c r="B11" s="87" t="str">
        <f>IF(B6&gt;0,B6/18520,"")</f>
        <v/>
      </c>
      <c r="C11" s="87" t="str">
        <f>IF(C6&gt;0,C6/185.2,"")</f>
        <v/>
      </c>
      <c r="D11" s="87" t="str">
        <f>IF(D6&gt;0,D6/0.1852,"")</f>
        <v/>
      </c>
      <c r="E11" s="87" t="str">
        <f>IF(E6&gt;0,E6*10,"")</f>
        <v/>
      </c>
      <c r="F11" s="87" t="str">
        <f>IF(F6&gt;0,F6,"")</f>
        <v/>
      </c>
      <c r="G11" s="87" t="str">
        <f>IF(G6&gt;0,G8/185.2,"")</f>
        <v/>
      </c>
      <c r="H11" s="87" t="str">
        <f>IF(H6&gt;0,H8/185.2,"")</f>
        <v/>
      </c>
      <c r="I11" s="87" t="str">
        <f>IF(I6&gt;0,I8/185.2,"")</f>
        <v/>
      </c>
      <c r="J11" s="87" t="str">
        <f>IF(J6&gt;0,J8/185.2,"")</f>
        <v/>
      </c>
      <c r="K11" s="87" t="str">
        <f>IF(K6&gt;0,K8/185.2,"")</f>
        <v/>
      </c>
      <c r="L11" s="89" t="str">
        <f>IF(L6&gt;0,L6*0.98747,"")</f>
        <v/>
      </c>
    </row>
    <row r="12" spans="1:12" ht="20.100000000000001" customHeight="1" x14ac:dyDescent="0.5">
      <c r="A12" s="158" t="s">
        <v>33</v>
      </c>
      <c r="B12" s="87" t="str">
        <f>IF(B6&gt;0,B6*0.005468,"")</f>
        <v/>
      </c>
      <c r="C12" s="87" t="str">
        <f>IF(C6&gt;0,C6*0.5468,"")</f>
        <v/>
      </c>
      <c r="D12" s="87" t="str">
        <f>IF(D6&gt;0,D6*546.8,"")</f>
        <v/>
      </c>
      <c r="E12" s="87" t="str">
        <f t="shared" ref="E12:K12" si="0">IF(E6&gt;0,E8*0.5468,"")</f>
        <v/>
      </c>
      <c r="F12" s="87" t="str">
        <f t="shared" si="0"/>
        <v/>
      </c>
      <c r="G12" s="87" t="str">
        <f t="shared" si="0"/>
        <v/>
      </c>
      <c r="H12" s="87" t="str">
        <f t="shared" si="0"/>
        <v/>
      </c>
      <c r="I12" s="87" t="str">
        <f t="shared" si="0"/>
        <v/>
      </c>
      <c r="J12" s="87" t="str">
        <f t="shared" si="0"/>
        <v/>
      </c>
      <c r="K12" s="87" t="str">
        <f t="shared" si="0"/>
        <v/>
      </c>
      <c r="L12" s="89" t="str">
        <f>IF(L6&gt;0,L8*0.5468,"")</f>
        <v/>
      </c>
    </row>
    <row r="13" spans="1:12" ht="20.100000000000001" customHeight="1" x14ac:dyDescent="0.5">
      <c r="A13" s="158" t="s">
        <v>32</v>
      </c>
      <c r="B13" s="87" t="str">
        <f>IF(B6&gt;0,B6/30.48,"")</f>
        <v/>
      </c>
      <c r="C13" s="87" t="str">
        <f>IF(C6&gt;0,C6/0.3048,"")</f>
        <v/>
      </c>
      <c r="D13" s="87" t="str">
        <f>IF(D6&gt;0,D6*1/0.0003048,"")</f>
        <v/>
      </c>
      <c r="E13" s="87" t="str">
        <f>IF(E6&gt;0,E8/0.3048,"")</f>
        <v/>
      </c>
      <c r="F13" s="87" t="str">
        <f>IF(F6&gt;0,F8/0.3048,"")</f>
        <v/>
      </c>
      <c r="G13" s="87" t="str">
        <f>IF(G6&gt;0,G8/0.3048,"")</f>
        <v/>
      </c>
      <c r="H13" s="87" t="str">
        <f>IF(H6&gt;0,H6,"")</f>
        <v/>
      </c>
      <c r="I13" s="87" t="str">
        <f>IF(I6&gt;0,I8/0.3048,"")</f>
        <v/>
      </c>
      <c r="J13" s="87" t="str">
        <f>IF(J6&gt;0,J8/0.3048,"")</f>
        <v/>
      </c>
      <c r="K13" s="87" t="str">
        <f>IF(K6&gt;0,K6*3,"")</f>
        <v/>
      </c>
      <c r="L13" s="89" t="str">
        <f>IF(L6&gt;0,L8/0.3048,"")</f>
        <v/>
      </c>
    </row>
    <row r="14" spans="1:12" ht="20.100000000000001" customHeight="1" x14ac:dyDescent="0.5">
      <c r="A14" s="158" t="s">
        <v>34</v>
      </c>
      <c r="B14" s="87" t="str">
        <f>IF(B6&gt;0,B13*12,"")</f>
        <v/>
      </c>
      <c r="C14" s="87" t="str">
        <f t="shared" ref="C14:L14" si="1">IF(C6&gt;0,C13*12,"")</f>
        <v/>
      </c>
      <c r="D14" s="87" t="str">
        <f t="shared" si="1"/>
        <v/>
      </c>
      <c r="E14" s="87" t="str">
        <f t="shared" si="1"/>
        <v/>
      </c>
      <c r="F14" s="87" t="str">
        <f t="shared" si="1"/>
        <v/>
      </c>
      <c r="G14" s="87" t="str">
        <f t="shared" si="1"/>
        <v/>
      </c>
      <c r="H14" s="87" t="str">
        <f t="shared" si="1"/>
        <v/>
      </c>
      <c r="I14" s="87" t="str">
        <f>IF(I6&gt;0,I6,"")</f>
        <v/>
      </c>
      <c r="J14" s="87" t="str">
        <f t="shared" si="1"/>
        <v/>
      </c>
      <c r="K14" s="87" t="str">
        <f>IF(K6&gt;0,K6*36,"")</f>
        <v/>
      </c>
      <c r="L14" s="89" t="str">
        <f t="shared" si="1"/>
        <v/>
      </c>
    </row>
    <row r="15" spans="1:12" ht="19.5" customHeight="1" x14ac:dyDescent="0.5">
      <c r="A15" s="158" t="s">
        <v>35</v>
      </c>
      <c r="B15" s="87" t="str">
        <f>IF(B6&gt;0,B6/1609344,"")</f>
        <v/>
      </c>
      <c r="C15" s="87" t="str">
        <f>IF(C6&gt;0,C6/1609.344,"")</f>
        <v/>
      </c>
      <c r="D15" s="87" t="str">
        <f>IF(D6&gt;0,D6/1.609344,"")</f>
        <v/>
      </c>
      <c r="E15" s="87" t="str">
        <f>IF(E6&gt;0,E8/1609.344,"")</f>
        <v/>
      </c>
      <c r="F15" s="87" t="str">
        <f>IF(F6&gt;0,F8/1609.344,"")</f>
        <v/>
      </c>
      <c r="G15" s="87" t="str">
        <f>IF(G6&gt;0,G8/1609.344,"")</f>
        <v/>
      </c>
      <c r="H15" s="87" t="str">
        <f>IF(H6&gt;0,H8/1609.344,"")</f>
        <v/>
      </c>
      <c r="I15" s="87" t="str">
        <f>IF(I6&gt;0,I8/1609.344,"")</f>
        <v/>
      </c>
      <c r="J15" s="87" t="str">
        <f>IF(J6&gt;0,J6,"")</f>
        <v/>
      </c>
      <c r="K15" s="87" t="str">
        <f>IF(K6&gt;0,K8/1609.344,"")</f>
        <v/>
      </c>
      <c r="L15" s="89" t="str">
        <f>IF(L6&gt;0,L8/1609.344,"")</f>
        <v/>
      </c>
    </row>
    <row r="16" spans="1:12" ht="20.100000000000001" customHeight="1" x14ac:dyDescent="0.5">
      <c r="A16" s="158" t="s">
        <v>36</v>
      </c>
      <c r="B16" s="87" t="str">
        <f>IF(B6&gt;0,B13/3,"")</f>
        <v/>
      </c>
      <c r="C16" s="87" t="str">
        <f t="shared" ref="C16:L16" si="2">IF(C6&gt;0,C13/3,"")</f>
        <v/>
      </c>
      <c r="D16" s="87" t="str">
        <f t="shared" si="2"/>
        <v/>
      </c>
      <c r="E16" s="87" t="str">
        <f t="shared" si="2"/>
        <v/>
      </c>
      <c r="F16" s="87" t="str">
        <f t="shared" si="2"/>
        <v/>
      </c>
      <c r="G16" s="87" t="str">
        <f t="shared" si="2"/>
        <v/>
      </c>
      <c r="H16" s="87" t="str">
        <f t="shared" si="2"/>
        <v/>
      </c>
      <c r="I16" s="87" t="str">
        <f t="shared" si="2"/>
        <v/>
      </c>
      <c r="J16" s="87" t="str">
        <f t="shared" si="2"/>
        <v/>
      </c>
      <c r="K16" s="87" t="str">
        <f>IF(K6&gt;0,K6,"")</f>
        <v/>
      </c>
      <c r="L16" s="89" t="str">
        <f t="shared" si="2"/>
        <v/>
      </c>
    </row>
    <row r="17" spans="1:12" ht="20.100000000000001" customHeight="1" x14ac:dyDescent="0.5">
      <c r="A17" s="159" t="s">
        <v>147</v>
      </c>
      <c r="B17" s="90" t="str">
        <f>IF(B6&gt;0,B6/18520*1.013,"")</f>
        <v/>
      </c>
      <c r="C17" s="90" t="str">
        <f>IF(C6&gt;0,C6/185.2*1.013,"")</f>
        <v/>
      </c>
      <c r="D17" s="90" t="str">
        <f>IF(D6&gt;0,D6/185.2*1013,"")</f>
        <v/>
      </c>
      <c r="E17" s="90" t="str">
        <f t="shared" ref="E17:K17" si="3">IF(E6&gt;0,E8/185.2*1.013,"")</f>
        <v/>
      </c>
      <c r="F17" s="90" t="str">
        <f t="shared" si="3"/>
        <v/>
      </c>
      <c r="G17" s="90" t="str">
        <f t="shared" si="3"/>
        <v/>
      </c>
      <c r="H17" s="90" t="str">
        <f t="shared" si="3"/>
        <v/>
      </c>
      <c r="I17" s="90" t="str">
        <f t="shared" si="3"/>
        <v/>
      </c>
      <c r="J17" s="90" t="str">
        <f t="shared" si="3"/>
        <v/>
      </c>
      <c r="K17" s="90" t="str">
        <f t="shared" si="3"/>
        <v/>
      </c>
      <c r="L17" s="91" t="str">
        <f>IF(L6&gt;0,L8/185.2*1.013,"")</f>
        <v/>
      </c>
    </row>
    <row r="18" spans="1:12" x14ac:dyDescent="0.5">
      <c r="A18" s="182"/>
    </row>
    <row r="19" spans="1:12" x14ac:dyDescent="0.5">
      <c r="A19" s="156"/>
    </row>
    <row r="20" spans="1:12" x14ac:dyDescent="0.5">
      <c r="A20" s="156"/>
    </row>
    <row r="21" spans="1:12" x14ac:dyDescent="0.5">
      <c r="A21" s="156"/>
    </row>
    <row r="22" spans="1:12" x14ac:dyDescent="0.5">
      <c r="A22" s="156"/>
    </row>
    <row r="23" spans="1:12" x14ac:dyDescent="0.5">
      <c r="A23" s="156"/>
    </row>
    <row r="24" spans="1:12" x14ac:dyDescent="0.5">
      <c r="A24" s="156"/>
    </row>
    <row r="25" spans="1:12" x14ac:dyDescent="0.5">
      <c r="A25" s="156"/>
    </row>
    <row r="26" spans="1:12" x14ac:dyDescent="0.5">
      <c r="A26" s="156"/>
    </row>
  </sheetData>
  <sheetProtection sheet="1" objects="1" scenarios="1"/>
  <hyperlinks>
    <hyperlink ref="A1" location="'Spis treści'!A1" display="'Spis treści'!A1" xr:uid="{00000000-0004-0000-0200-000000000000}"/>
  </hyperlink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7"/>
  <dimension ref="A1:J17"/>
  <sheetViews>
    <sheetView workbookViewId="0">
      <selection activeCell="C6" sqref="C6"/>
    </sheetView>
  </sheetViews>
  <sheetFormatPr defaultColWidth="17.71875" defaultRowHeight="17.399999999999999" x14ac:dyDescent="0.55000000000000004"/>
  <cols>
    <col min="1" max="1" width="0.83203125" style="28" customWidth="1"/>
    <col min="2" max="2" width="20.27734375" style="28" customWidth="1"/>
    <col min="3" max="10" width="14.71875" style="28" customWidth="1"/>
    <col min="11" max="16384" width="17.71875" style="28"/>
  </cols>
  <sheetData>
    <row r="1" spans="1:10" s="76" customFormat="1" x14ac:dyDescent="0.55000000000000004">
      <c r="A1" s="75" t="s">
        <v>27</v>
      </c>
    </row>
    <row r="2" spans="1:10" s="76" customFormat="1" x14ac:dyDescent="0.55000000000000004"/>
    <row r="3" spans="1:10" s="76" customFormat="1" ht="19.8" x14ac:dyDescent="0.65">
      <c r="A3" s="74" t="s">
        <v>698</v>
      </c>
    </row>
    <row r="5" spans="1:10" s="31" customFormat="1" ht="48.3" x14ac:dyDescent="0.55000000000000004">
      <c r="B5" s="153"/>
      <c r="C5" s="153" t="s">
        <v>458</v>
      </c>
      <c r="D5" s="154" t="s">
        <v>645</v>
      </c>
      <c r="E5" s="154" t="s">
        <v>360</v>
      </c>
      <c r="F5" s="154" t="s">
        <v>504</v>
      </c>
      <c r="G5" s="154" t="s">
        <v>646</v>
      </c>
      <c r="H5" s="154" t="s">
        <v>459</v>
      </c>
      <c r="I5" s="154" t="s">
        <v>710</v>
      </c>
      <c r="J5" s="155" t="s">
        <v>711</v>
      </c>
    </row>
    <row r="6" spans="1:10" s="31" customFormat="1" ht="25" customHeight="1" x14ac:dyDescent="0.55000000000000004">
      <c r="B6" s="153"/>
      <c r="C6" s="97"/>
      <c r="D6" s="97"/>
      <c r="E6" s="97"/>
      <c r="F6" s="97"/>
      <c r="G6" s="97"/>
      <c r="H6" s="97"/>
      <c r="I6" s="97"/>
      <c r="J6" s="98"/>
    </row>
    <row r="7" spans="1:10" s="31" customFormat="1" ht="25" customHeight="1" x14ac:dyDescent="0.55000000000000004">
      <c r="B7" s="157" t="s">
        <v>458</v>
      </c>
      <c r="C7" s="99" t="str">
        <f>IF(C6&gt;0,C6,"")</f>
        <v/>
      </c>
      <c r="D7" s="99" t="str">
        <f>IF(D6&gt;0,D6*10^(-3),"")</f>
        <v/>
      </c>
      <c r="E7" s="99" t="str">
        <f>IF(E6&gt;0,E6*10^(-5),"")</f>
        <v/>
      </c>
      <c r="F7" s="99" t="str">
        <f>IF(F6&gt;0,F9*10^(-5),"")</f>
        <v/>
      </c>
      <c r="G7" s="99" t="str">
        <f>IF(G6&gt;0,G9*10^(-5),"")</f>
        <v/>
      </c>
      <c r="H7" s="99" t="str">
        <f>IF(H6&gt;0,H9*10^(-5),"")</f>
        <v/>
      </c>
      <c r="I7" s="99" t="str">
        <f>IF(I6&gt;0,I9*10^(-5),"")</f>
        <v/>
      </c>
      <c r="J7" s="100" t="str">
        <f>IF(J6&gt;0,J9*10^(-5),"")</f>
        <v/>
      </c>
    </row>
    <row r="8" spans="1:10" s="31" customFormat="1" ht="25" customHeight="1" x14ac:dyDescent="0.55000000000000004">
      <c r="B8" s="158" t="s">
        <v>645</v>
      </c>
      <c r="C8" s="99" t="str">
        <f>IF(C6&gt;0,C6*10^3,"")</f>
        <v/>
      </c>
      <c r="D8" s="101" t="str">
        <f>IF(D6&gt;0,D6,"")</f>
        <v/>
      </c>
      <c r="E8" s="99" t="str">
        <f>IF(E6&gt;0,E6*10^(-2),"")</f>
        <v/>
      </c>
      <c r="F8" s="99" t="str">
        <f>IF(F6&gt;0,F9*10^(-2),"")</f>
        <v/>
      </c>
      <c r="G8" s="99" t="str">
        <f>IF(G6&gt;0,G6*33.867,"")</f>
        <v/>
      </c>
      <c r="H8" s="99" t="str">
        <f>IF(H6&gt;0,H9*10^(-2),"")</f>
        <v/>
      </c>
      <c r="I8" s="99" t="str">
        <f>IF(I6&gt;0,I9*10^(-2),"")</f>
        <v/>
      </c>
      <c r="J8" s="100" t="str">
        <f>IF(J6&gt;0,J9*10^(-2),"")</f>
        <v/>
      </c>
    </row>
    <row r="9" spans="1:10" s="31" customFormat="1" ht="25" customHeight="1" x14ac:dyDescent="0.55000000000000004">
      <c r="B9" s="158" t="s">
        <v>360</v>
      </c>
      <c r="C9" s="101" t="str">
        <f>IF(C6&gt;0,C6*10^5,"")</f>
        <v/>
      </c>
      <c r="D9" s="99" t="str">
        <f>IF(D6&gt;0,D6*10^2,"")</f>
        <v/>
      </c>
      <c r="E9" s="101" t="str">
        <f>IF(E6&gt;0,E6,"")</f>
        <v/>
      </c>
      <c r="F9" s="99" t="str">
        <f>IF(F6&gt;0,F6*133.322,"")</f>
        <v/>
      </c>
      <c r="G9" s="99" t="str">
        <f>IF(G6&gt;0,G8*10^(2),"")</f>
        <v/>
      </c>
      <c r="H9" s="99" t="str">
        <f>IF(H6&gt;0,H6*101325,"")</f>
        <v/>
      </c>
      <c r="I9" s="99" t="str">
        <f>IF(I6&gt;0,I6*98066.5,"")</f>
        <v/>
      </c>
      <c r="J9" s="100" t="str">
        <f>IF(J6&gt;0,J6*10^(-1),"")</f>
        <v/>
      </c>
    </row>
    <row r="10" spans="1:10" s="31" customFormat="1" ht="25" customHeight="1" x14ac:dyDescent="0.55000000000000004">
      <c r="B10" s="158" t="s">
        <v>504</v>
      </c>
      <c r="C10" s="99" t="str">
        <f>IF(C6&gt;0,C9/133.322,"")</f>
        <v/>
      </c>
      <c r="D10" s="99" t="str">
        <f>IF(D6&gt;0,D9/133.322,"")</f>
        <v/>
      </c>
      <c r="E10" s="99" t="str">
        <f>IF(E6&gt;0,E9/133.322,"")</f>
        <v/>
      </c>
      <c r="F10" s="101" t="str">
        <f>IF(F6&gt;0,F6,"")</f>
        <v/>
      </c>
      <c r="G10" s="99" t="str">
        <f>IF(G6&gt;0,G9/133.322,"")</f>
        <v/>
      </c>
      <c r="H10" s="99" t="str">
        <f>IF(H6&gt;0,H9/133.322,"")</f>
        <v/>
      </c>
      <c r="I10" s="99" t="str">
        <f>IF(I6&gt;0,I9/133.322,"")</f>
        <v/>
      </c>
      <c r="J10" s="100" t="str">
        <f>IF(J6&gt;0,J9/133.322,"")</f>
        <v/>
      </c>
    </row>
    <row r="11" spans="1:10" s="31" customFormat="1" ht="25" customHeight="1" x14ac:dyDescent="0.55000000000000004">
      <c r="B11" s="158" t="s">
        <v>646</v>
      </c>
      <c r="C11" s="99" t="str">
        <f>IF(C6&gt;0,C8/33.867,"")</f>
        <v/>
      </c>
      <c r="D11" s="99" t="str">
        <f>IF(D6&gt;0,D8/33.867,"")</f>
        <v/>
      </c>
      <c r="E11" s="99" t="str">
        <f>IF(E6&gt;0,E8/33.867,"")</f>
        <v/>
      </c>
      <c r="F11" s="99" t="str">
        <f>IF(F6&gt;0,F8/33.867,"")</f>
        <v/>
      </c>
      <c r="G11" s="101" t="str">
        <f>IF(G6&gt;0,G6,"")</f>
        <v/>
      </c>
      <c r="H11" s="99" t="str">
        <f>IF(H6&gt;0,H8/33.867,"")</f>
        <v/>
      </c>
      <c r="I11" s="99" t="str">
        <f>IF(I6&gt;0,I8/33.867,"")</f>
        <v/>
      </c>
      <c r="J11" s="100" t="str">
        <f>IF(J6&gt;0,J8/33.867,"")</f>
        <v/>
      </c>
    </row>
    <row r="12" spans="1:10" s="31" customFormat="1" ht="25" customHeight="1" x14ac:dyDescent="0.55000000000000004">
      <c r="B12" s="158" t="s">
        <v>647</v>
      </c>
      <c r="C12" s="99" t="str">
        <f>IF(C6&gt;0,C9/101325,"")</f>
        <v/>
      </c>
      <c r="D12" s="99" t="str">
        <f>IF(D6&gt;0,D9/101325,"")</f>
        <v/>
      </c>
      <c r="E12" s="99" t="str">
        <f>IF(E6&gt;0,E9/101325,"")</f>
        <v/>
      </c>
      <c r="F12" s="99" t="str">
        <f>IF(F6&gt;0,F9/101325,"")</f>
        <v/>
      </c>
      <c r="G12" s="99" t="str">
        <f>IF(G6&gt;0,G9/101325,"")</f>
        <v/>
      </c>
      <c r="H12" s="101" t="str">
        <f>IF(H6&gt;0,H6,"")</f>
        <v/>
      </c>
      <c r="I12" s="99" t="str">
        <f>IF(I6&gt;0,I9/101325,"")</f>
        <v/>
      </c>
      <c r="J12" s="100" t="str">
        <f>IF(J6&gt;0,J9/101325,"")</f>
        <v/>
      </c>
    </row>
    <row r="13" spans="1:10" s="31" customFormat="1" ht="25" customHeight="1" x14ac:dyDescent="0.55000000000000004">
      <c r="B13" s="158" t="s">
        <v>648</v>
      </c>
      <c r="C13" s="99" t="str">
        <f t="shared" ref="C13:H13" si="0">IF(C6&gt;0,C9/98066.5,"")</f>
        <v/>
      </c>
      <c r="D13" s="99" t="str">
        <f t="shared" si="0"/>
        <v/>
      </c>
      <c r="E13" s="99" t="str">
        <f t="shared" si="0"/>
        <v/>
      </c>
      <c r="F13" s="99" t="str">
        <f t="shared" si="0"/>
        <v/>
      </c>
      <c r="G13" s="99" t="str">
        <f t="shared" si="0"/>
        <v/>
      </c>
      <c r="H13" s="99" t="str">
        <f t="shared" si="0"/>
        <v/>
      </c>
      <c r="I13" s="101" t="str">
        <f>IF(I6&gt;0,I6,"")</f>
        <v/>
      </c>
      <c r="J13" s="100" t="str">
        <f>IF(J6&gt;0,J9/98066.5,"")</f>
        <v/>
      </c>
    </row>
    <row r="14" spans="1:10" s="31" customFormat="1" ht="25" customHeight="1" x14ac:dyDescent="0.55000000000000004">
      <c r="B14" s="159" t="s">
        <v>711</v>
      </c>
      <c r="C14" s="102" t="str">
        <f t="shared" ref="C14:I14" si="1">IF(C6&gt;0,C9/10^(-1),"")</f>
        <v/>
      </c>
      <c r="D14" s="102" t="str">
        <f t="shared" si="1"/>
        <v/>
      </c>
      <c r="E14" s="102" t="str">
        <f t="shared" si="1"/>
        <v/>
      </c>
      <c r="F14" s="102" t="str">
        <f t="shared" si="1"/>
        <v/>
      </c>
      <c r="G14" s="102" t="str">
        <f t="shared" si="1"/>
        <v/>
      </c>
      <c r="H14" s="102" t="str">
        <f t="shared" si="1"/>
        <v/>
      </c>
      <c r="I14" s="102" t="str">
        <f t="shared" si="1"/>
        <v/>
      </c>
      <c r="J14" s="103" t="str">
        <f>IF(J6&gt;0,J6,"")</f>
        <v/>
      </c>
    </row>
    <row r="15" spans="1:10" s="31" customFormat="1" x14ac:dyDescent="0.55000000000000004"/>
    <row r="16" spans="1:10" s="31" customFormat="1" x14ac:dyDescent="0.55000000000000004"/>
    <row r="17" s="31" customFormat="1" x14ac:dyDescent="0.55000000000000004"/>
  </sheetData>
  <sheetProtection sheet="1" objects="1" scenarios="1"/>
  <hyperlinks>
    <hyperlink ref="A1" location="'Spis treści'!A1" display="'Spis treści'!A1" xr:uid="{00000000-0004-0000-0300-000000000000}"/>
  </hyperlinks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8"/>
  <dimension ref="A1:H12"/>
  <sheetViews>
    <sheetView zoomScaleNormal="100" workbookViewId="0">
      <selection activeCell="C6" sqref="C6"/>
    </sheetView>
  </sheetViews>
  <sheetFormatPr defaultColWidth="17.71875" defaultRowHeight="17.399999999999999" x14ac:dyDescent="0.55000000000000004"/>
  <cols>
    <col min="1" max="1" width="10" style="37" customWidth="1"/>
    <col min="2" max="2" width="20.71875" style="36" customWidth="1"/>
    <col min="3" max="3" width="21.44140625" style="37" customWidth="1"/>
    <col min="4" max="5" width="20.71875" style="37" customWidth="1"/>
    <col min="6" max="8" width="12.71875" style="37" customWidth="1"/>
    <col min="9" max="16384" width="17.71875" style="37"/>
  </cols>
  <sheetData>
    <row r="1" spans="1:8" s="76" customFormat="1" x14ac:dyDescent="0.55000000000000004">
      <c r="A1" s="75" t="s">
        <v>27</v>
      </c>
    </row>
    <row r="2" spans="1:8" s="76" customFormat="1" x14ac:dyDescent="0.55000000000000004"/>
    <row r="3" spans="1:8" s="76" customFormat="1" ht="19.8" x14ac:dyDescent="0.65">
      <c r="A3" s="74" t="s">
        <v>699</v>
      </c>
    </row>
    <row r="4" spans="1:8" s="76" customFormat="1" ht="19.8" x14ac:dyDescent="0.65">
      <c r="A4" s="74"/>
    </row>
    <row r="5" spans="1:8" s="39" customFormat="1" ht="25" customHeight="1" x14ac:dyDescent="0.4">
      <c r="B5" s="162"/>
      <c r="C5" s="160" t="s">
        <v>431</v>
      </c>
      <c r="D5" s="160" t="s">
        <v>662</v>
      </c>
      <c r="E5" s="161" t="s">
        <v>661</v>
      </c>
      <c r="F5" s="38"/>
      <c r="G5" s="38"/>
      <c r="H5" s="38"/>
    </row>
    <row r="6" spans="1:8" s="41" customFormat="1" ht="25" customHeight="1" x14ac:dyDescent="0.4">
      <c r="B6" s="163"/>
      <c r="C6" s="104"/>
      <c r="D6" s="104"/>
      <c r="E6" s="105"/>
      <c r="F6" s="40"/>
      <c r="G6" s="40"/>
      <c r="H6" s="40"/>
    </row>
    <row r="7" spans="1:8" s="41" customFormat="1" ht="25" customHeight="1" x14ac:dyDescent="0.4">
      <c r="B7" s="163" t="s">
        <v>431</v>
      </c>
      <c r="C7" s="106" t="str">
        <f>IF(C6="","",C6)</f>
        <v/>
      </c>
      <c r="D7" s="106" t="str">
        <f>IF(D6="","",D6-273.15)</f>
        <v/>
      </c>
      <c r="E7" s="107" t="str">
        <f>IF(E6="","",5/9*(E6-32))</f>
        <v/>
      </c>
      <c r="F7" s="40"/>
      <c r="G7" s="40"/>
      <c r="H7" s="40"/>
    </row>
    <row r="8" spans="1:8" s="41" customFormat="1" ht="25" customHeight="1" x14ac:dyDescent="0.4">
      <c r="B8" s="163" t="s">
        <v>662</v>
      </c>
      <c r="C8" s="106" t="str">
        <f>IF(C6="","",C6+273.15)</f>
        <v/>
      </c>
      <c r="D8" s="106" t="str">
        <f>IF(D6="","",D6)</f>
        <v/>
      </c>
      <c r="E8" s="107" t="str">
        <f>IF(E6="","",E7+273.15)</f>
        <v/>
      </c>
      <c r="F8" s="40"/>
      <c r="G8" s="40"/>
      <c r="H8" s="40"/>
    </row>
    <row r="9" spans="1:8" s="41" customFormat="1" ht="25" customHeight="1" x14ac:dyDescent="0.4">
      <c r="B9" s="162" t="s">
        <v>661</v>
      </c>
      <c r="C9" s="108" t="str">
        <f>IF(C6="","",9/5*C6+32)</f>
        <v/>
      </c>
      <c r="D9" s="108" t="str">
        <f>IF(D6="","",9/5*D7+32)</f>
        <v/>
      </c>
      <c r="E9" s="109" t="str">
        <f>IF(E6="","",E6)</f>
        <v/>
      </c>
      <c r="F9" s="40"/>
      <c r="G9" s="40"/>
      <c r="H9" s="40"/>
    </row>
    <row r="10" spans="1:8" s="41" customFormat="1" x14ac:dyDescent="0.4">
      <c r="B10" s="38"/>
      <c r="C10" s="40"/>
      <c r="D10" s="40"/>
      <c r="E10" s="40"/>
      <c r="F10" s="40"/>
      <c r="G10" s="40"/>
      <c r="H10" s="40"/>
    </row>
    <row r="11" spans="1:8" s="41" customFormat="1" x14ac:dyDescent="0.4">
      <c r="B11" s="38"/>
      <c r="C11" s="40"/>
      <c r="D11" s="40"/>
      <c r="E11" s="40"/>
      <c r="F11" s="40"/>
      <c r="G11" s="40"/>
      <c r="H11" s="40"/>
    </row>
    <row r="12" spans="1:8" s="41" customFormat="1" x14ac:dyDescent="0.4">
      <c r="B12" s="38"/>
      <c r="C12" s="40"/>
      <c r="D12" s="40"/>
      <c r="E12" s="40"/>
      <c r="F12" s="40"/>
      <c r="G12" s="40"/>
      <c r="H12" s="40"/>
    </row>
  </sheetData>
  <sheetProtection sheet="1" objects="1" scenarios="1"/>
  <hyperlinks>
    <hyperlink ref="A1" location="'Spis treści'!A1" display="'Spis treści'!A1" xr:uid="{00000000-0004-0000-0400-000000000000}"/>
  </hyperlink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9"/>
  <dimension ref="A1:K17"/>
  <sheetViews>
    <sheetView workbookViewId="0">
      <selection activeCell="C7" sqref="C7"/>
    </sheetView>
  </sheetViews>
  <sheetFormatPr defaultColWidth="17.71875" defaultRowHeight="17.7" x14ac:dyDescent="0.6"/>
  <cols>
    <col min="1" max="1" width="0.83203125" style="37" customWidth="1"/>
    <col min="2" max="2" width="14.1640625" style="42" customWidth="1"/>
    <col min="3" max="11" width="13.71875" style="37" customWidth="1"/>
    <col min="12" max="16384" width="17.71875" style="37"/>
  </cols>
  <sheetData>
    <row r="1" spans="1:11" s="76" customFormat="1" ht="17.399999999999999" x14ac:dyDescent="0.55000000000000004">
      <c r="A1" s="75" t="s">
        <v>27</v>
      </c>
    </row>
    <row r="2" spans="1:11" s="76" customFormat="1" ht="17.399999999999999" x14ac:dyDescent="0.55000000000000004"/>
    <row r="3" spans="1:11" s="76" customFormat="1" ht="19.8" x14ac:dyDescent="0.65">
      <c r="A3" s="74" t="s">
        <v>700</v>
      </c>
    </row>
    <row r="5" spans="1:11" s="51" customFormat="1" x14ac:dyDescent="0.4">
      <c r="B5" s="50"/>
      <c r="E5" s="34"/>
      <c r="F5" s="34"/>
      <c r="G5" s="34"/>
      <c r="H5" s="34"/>
    </row>
    <row r="6" spans="1:11" s="45" customFormat="1" ht="37.5" customHeight="1" x14ac:dyDescent="0.55000000000000004">
      <c r="B6" s="162"/>
      <c r="C6" s="164" t="s">
        <v>712</v>
      </c>
      <c r="D6" s="165" t="s">
        <v>713</v>
      </c>
      <c r="E6" s="165" t="s">
        <v>714</v>
      </c>
      <c r="F6" s="165" t="s">
        <v>715</v>
      </c>
      <c r="G6" s="165" t="s">
        <v>692</v>
      </c>
      <c r="H6" s="165" t="s">
        <v>693</v>
      </c>
      <c r="I6" s="165" t="s">
        <v>716</v>
      </c>
      <c r="J6" s="165" t="s">
        <v>717</v>
      </c>
      <c r="K6" s="166" t="s">
        <v>718</v>
      </c>
    </row>
    <row r="7" spans="1:11" s="43" customFormat="1" ht="25" customHeight="1" x14ac:dyDescent="0.5">
      <c r="B7" s="163"/>
      <c r="C7" s="104"/>
      <c r="D7" s="104"/>
      <c r="E7" s="104"/>
      <c r="F7" s="104"/>
      <c r="G7" s="104"/>
      <c r="H7" s="104"/>
      <c r="I7" s="104"/>
      <c r="J7" s="104"/>
      <c r="K7" s="105"/>
    </row>
    <row r="8" spans="1:11" s="52" customFormat="1" ht="25" customHeight="1" x14ac:dyDescent="0.5">
      <c r="B8" s="167" t="s">
        <v>719</v>
      </c>
      <c r="C8" s="106" t="str">
        <f>IF(C7&gt;0,C7,"")</f>
        <v/>
      </c>
      <c r="D8" s="106" t="str">
        <f>IF(D7&gt;0,D7*10^2,"")</f>
        <v/>
      </c>
      <c r="E8" s="106" t="str">
        <f>IF(E7&gt;0,E7*10^4,"")</f>
        <v/>
      </c>
      <c r="F8" s="106" t="str">
        <f>IF(F7&gt;0,F7*10^10,"")</f>
        <v/>
      </c>
      <c r="G8" s="106" t="str">
        <f>IF(G7&gt;0,G7*10^8,"")</f>
        <v/>
      </c>
      <c r="H8" s="106" t="str">
        <f>IF(H7&gt;0,H7*10^6,"")</f>
        <v/>
      </c>
      <c r="I8" s="106" t="str">
        <f>IF(I7&gt;0,I7*6.4515999,"")</f>
        <v/>
      </c>
      <c r="J8" s="106" t="str">
        <f>IF(J7&gt;0,J10*10^4,"")</f>
        <v/>
      </c>
      <c r="K8" s="107" t="str">
        <f>IF(K7&gt;0,K10*10^4,"")</f>
        <v/>
      </c>
    </row>
    <row r="9" spans="1:11" s="52" customFormat="1" ht="25" customHeight="1" x14ac:dyDescent="0.5">
      <c r="B9" s="167" t="s">
        <v>720</v>
      </c>
      <c r="C9" s="106" t="str">
        <f>IF(C7&gt;0,C7*10^(-2),"")</f>
        <v/>
      </c>
      <c r="D9" s="106" t="str">
        <f>IF(D7&gt;0,D7,"")</f>
        <v/>
      </c>
      <c r="E9" s="106" t="str">
        <f>IF(E7&gt;0,E7*10^2,"")</f>
        <v/>
      </c>
      <c r="F9" s="106" t="str">
        <f>IF(F7&gt;0,F7*10^8,"")</f>
        <v/>
      </c>
      <c r="G9" s="106" t="str">
        <f>IF(G7&gt;0,G7*10^6,"")</f>
        <v/>
      </c>
      <c r="H9" s="106" t="str">
        <f>IF(H7&gt;0,H7*10^4,"")</f>
        <v/>
      </c>
      <c r="I9" s="106" t="str">
        <f>IF(I7&gt;0,I8*10^(-2),"")</f>
        <v/>
      </c>
      <c r="J9" s="106" t="str">
        <f>IF(J7&gt;0,J10*10^2,"")</f>
        <v/>
      </c>
      <c r="K9" s="107" t="str">
        <f>IF(K7&gt;0,K10*10^2,"")</f>
        <v/>
      </c>
    </row>
    <row r="10" spans="1:11" s="52" customFormat="1" ht="25" customHeight="1" x14ac:dyDescent="0.5">
      <c r="B10" s="167" t="s">
        <v>721</v>
      </c>
      <c r="C10" s="106" t="str">
        <f>IF(C7&gt;0,C7*10^(-4),"")</f>
        <v/>
      </c>
      <c r="D10" s="106" t="str">
        <f>IF(D7&gt;0,D7*10^(-2),"")</f>
        <v/>
      </c>
      <c r="E10" s="106" t="str">
        <f>IF(E7&gt;0,E7,"")</f>
        <v/>
      </c>
      <c r="F10" s="106" t="str">
        <f>IF(F7&gt;0,F7*10^6,"")</f>
        <v/>
      </c>
      <c r="G10" s="106" t="str">
        <f>IF(G7&gt;0,G7*10^4,"")</f>
        <v/>
      </c>
      <c r="H10" s="106" t="str">
        <f>IF(H7&gt;0,H7*10^2,"")</f>
        <v/>
      </c>
      <c r="I10" s="106" t="str">
        <f>IF(I7&gt;0,I8*10^(-4),"")</f>
        <v/>
      </c>
      <c r="J10" s="106" t="str">
        <f>IF(J7&gt;0,J7*0.09290304,"")</f>
        <v/>
      </c>
      <c r="K10" s="107" t="str">
        <f>IF(K7&gt;0,K7*0.83612736,"")</f>
        <v/>
      </c>
    </row>
    <row r="11" spans="1:11" s="52" customFormat="1" ht="25" customHeight="1" x14ac:dyDescent="0.5">
      <c r="B11" s="167" t="s">
        <v>722</v>
      </c>
      <c r="C11" s="106" t="str">
        <f>IF(C7&gt;0,C10*10^(-6),"")</f>
        <v/>
      </c>
      <c r="D11" s="106" t="str">
        <f>IF(D7&gt;0,D10*10^(-6),"")</f>
        <v/>
      </c>
      <c r="E11" s="106" t="str">
        <f>IF(E7&gt;0,E10*10^(-6),"")</f>
        <v/>
      </c>
      <c r="F11" s="106" t="str">
        <f>IF(F7&gt;0,F7,"")</f>
        <v/>
      </c>
      <c r="G11" s="106" t="str">
        <f>IF(G7&gt;0,G10*10^(-6),"")</f>
        <v/>
      </c>
      <c r="H11" s="106" t="str">
        <f>IF(H7&gt;0,H10*10^(-6),"")</f>
        <v/>
      </c>
      <c r="I11" s="106" t="str">
        <f>IF(I7&gt;0,I10*10^(-6),"")</f>
        <v/>
      </c>
      <c r="J11" s="106" t="str">
        <f>IF(J7&gt;0,J10*10^(-6),"")</f>
        <v/>
      </c>
      <c r="K11" s="107" t="str">
        <f>IF(K7&gt;0,K10*10^(-6),"")</f>
        <v/>
      </c>
    </row>
    <row r="12" spans="1:11" s="52" customFormat="1" ht="25" customHeight="1" x14ac:dyDescent="0.5">
      <c r="B12" s="167" t="s">
        <v>692</v>
      </c>
      <c r="C12" s="106" t="str">
        <f>IF(C7&gt;0,C10*10^(-4),"")</f>
        <v/>
      </c>
      <c r="D12" s="106" t="str">
        <f>IF(D7&gt;0,D10*10^(-4),"")</f>
        <v/>
      </c>
      <c r="E12" s="106" t="str">
        <f>IF(E7&gt;0,E10*10^(-4),"")</f>
        <v/>
      </c>
      <c r="F12" s="106" t="str">
        <f>IF(F7&gt;0,F10*10^(-4),"")</f>
        <v/>
      </c>
      <c r="G12" s="106" t="str">
        <f>IF(G7&gt;0,G7,"")</f>
        <v/>
      </c>
      <c r="H12" s="106" t="str">
        <f>IF(H7&gt;0,H10*10^(-4),"")</f>
        <v/>
      </c>
      <c r="I12" s="106" t="str">
        <f>IF(I7&gt;0,I10*10^(-4),"")</f>
        <v/>
      </c>
      <c r="J12" s="106" t="str">
        <f>IF(J7&gt;0,J10*10^(-4),"")</f>
        <v/>
      </c>
      <c r="K12" s="107" t="str">
        <f>IF(K7&gt;0,K10*10^(-4),"")</f>
        <v/>
      </c>
    </row>
    <row r="13" spans="1:11" s="52" customFormat="1" ht="25" customHeight="1" x14ac:dyDescent="0.5">
      <c r="B13" s="167" t="s">
        <v>693</v>
      </c>
      <c r="C13" s="106" t="str">
        <f>IF(C7&gt;0,C10*10^(-2),"")</f>
        <v/>
      </c>
      <c r="D13" s="106" t="str">
        <f>IF(D7&gt;0,D10*10^(-2),"")</f>
        <v/>
      </c>
      <c r="E13" s="106" t="str">
        <f>IF(E7&gt;0,E10*10^(-2),"")</f>
        <v/>
      </c>
      <c r="F13" s="106" t="str">
        <f>IF(F7&gt;0,F10*10^(-2),"")</f>
        <v/>
      </c>
      <c r="G13" s="106" t="str">
        <f>IF(G7&gt;0,G10*10^(-2),"")</f>
        <v/>
      </c>
      <c r="H13" s="106" t="str">
        <f>IF(H7&gt;0,H7,"")</f>
        <v/>
      </c>
      <c r="I13" s="106" t="str">
        <f>IF(I7&gt;0,I10*10^(-2),"")</f>
        <v/>
      </c>
      <c r="J13" s="106" t="str">
        <f>IF(J7&gt;0,J10*10^(-2),"")</f>
        <v/>
      </c>
      <c r="K13" s="107" t="str">
        <f>IF(K7&gt;0,K10*10^(-2),"")</f>
        <v/>
      </c>
    </row>
    <row r="14" spans="1:11" s="52" customFormat="1" ht="25" customHeight="1" x14ac:dyDescent="0.5">
      <c r="B14" s="167" t="s">
        <v>723</v>
      </c>
      <c r="C14" s="106" t="str">
        <f t="shared" ref="C14:H14" si="0">IF(C7&gt;0,C8/6.4515999,"")</f>
        <v/>
      </c>
      <c r="D14" s="106" t="str">
        <f t="shared" si="0"/>
        <v/>
      </c>
      <c r="E14" s="106" t="str">
        <f t="shared" si="0"/>
        <v/>
      </c>
      <c r="F14" s="106" t="str">
        <f t="shared" si="0"/>
        <v/>
      </c>
      <c r="G14" s="106" t="str">
        <f t="shared" si="0"/>
        <v/>
      </c>
      <c r="H14" s="106" t="str">
        <f t="shared" si="0"/>
        <v/>
      </c>
      <c r="I14" s="106" t="str">
        <f>IF(I7&gt;0,I7,"")</f>
        <v/>
      </c>
      <c r="J14" s="106" t="str">
        <f>IF(J7&gt;0,J8*0.06103,"")</f>
        <v/>
      </c>
      <c r="K14" s="107" t="str">
        <f>IF(K7&gt;0,K8*0.06103,"")</f>
        <v/>
      </c>
    </row>
    <row r="15" spans="1:11" s="52" customFormat="1" ht="25" customHeight="1" x14ac:dyDescent="0.5">
      <c r="B15" s="167" t="s">
        <v>724</v>
      </c>
      <c r="C15" s="106" t="str">
        <f t="shared" ref="C15:H15" si="1">IF(C7&gt;0,C10/0.09290304,"")</f>
        <v/>
      </c>
      <c r="D15" s="106" t="str">
        <f t="shared" si="1"/>
        <v/>
      </c>
      <c r="E15" s="106" t="str">
        <f t="shared" si="1"/>
        <v/>
      </c>
      <c r="F15" s="106" t="str">
        <f t="shared" si="1"/>
        <v/>
      </c>
      <c r="G15" s="106" t="str">
        <f t="shared" si="1"/>
        <v/>
      </c>
      <c r="H15" s="106" t="str">
        <f t="shared" si="1"/>
        <v/>
      </c>
      <c r="I15" s="106" t="str">
        <f>IF(I7&gt;0,I9*0.03531,"")</f>
        <v/>
      </c>
      <c r="J15" s="106" t="str">
        <f>IF(J7&gt;0,J7,"")</f>
        <v/>
      </c>
      <c r="K15" s="107" t="str">
        <f>IF(K7&gt;0,K7,"")</f>
        <v/>
      </c>
    </row>
    <row r="16" spans="1:11" s="45" customFormat="1" ht="25" customHeight="1" x14ac:dyDescent="0.55000000000000004">
      <c r="B16" s="168" t="s">
        <v>725</v>
      </c>
      <c r="C16" s="108" t="str">
        <f>IF(C7&gt;0,C10/0.83612736,"")</f>
        <v/>
      </c>
      <c r="D16" s="108" t="str">
        <f t="shared" ref="D16:J16" si="2">IF(D7&gt;0,D10/0.83612736,"")</f>
        <v/>
      </c>
      <c r="E16" s="108" t="str">
        <f t="shared" si="2"/>
        <v/>
      </c>
      <c r="F16" s="108" t="str">
        <f t="shared" si="2"/>
        <v/>
      </c>
      <c r="G16" s="108" t="str">
        <f t="shared" si="2"/>
        <v/>
      </c>
      <c r="H16" s="108" t="str">
        <f t="shared" si="2"/>
        <v/>
      </c>
      <c r="I16" s="108" t="str">
        <f t="shared" si="2"/>
        <v/>
      </c>
      <c r="J16" s="108" t="str">
        <f t="shared" si="2"/>
        <v/>
      </c>
      <c r="K16" s="109" t="str">
        <f>IF(K7&gt;0,K7,"")</f>
        <v/>
      </c>
    </row>
    <row r="17" spans="2:11" x14ac:dyDescent="0.6">
      <c r="B17" s="53"/>
      <c r="C17" s="54"/>
      <c r="D17" s="54"/>
      <c r="E17" s="54"/>
      <c r="F17" s="54"/>
      <c r="G17" s="54"/>
      <c r="H17" s="54"/>
      <c r="I17" s="54"/>
      <c r="J17" s="54"/>
      <c r="K17" s="54"/>
    </row>
  </sheetData>
  <sheetProtection sheet="1" objects="1" scenarios="1"/>
  <hyperlinks>
    <hyperlink ref="A1" location="'Spis treści'!A1" display="'Spis treści'!A1" xr:uid="{00000000-0004-0000-0500-000000000000}"/>
  </hyperlinks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10"/>
  <dimension ref="A1:N19"/>
  <sheetViews>
    <sheetView workbookViewId="0">
      <pane xSplit="2" ySplit="7" topLeftCell="C13" activePane="bottomRight" state="frozen"/>
      <selection pane="topRight" activeCell="C1" sqref="C1"/>
      <selection pane="bottomLeft" activeCell="A9" sqref="A9"/>
      <selection pane="bottomRight" activeCell="C7" sqref="C7"/>
    </sheetView>
  </sheetViews>
  <sheetFormatPr defaultColWidth="17.71875" defaultRowHeight="17.7" x14ac:dyDescent="0.6"/>
  <cols>
    <col min="1" max="1" width="0.83203125" style="28" customWidth="1"/>
    <col min="2" max="2" width="14.1640625" style="33" customWidth="1"/>
    <col min="3" max="12" width="12.71875" style="28" customWidth="1"/>
    <col min="13" max="16384" width="17.71875" style="28"/>
  </cols>
  <sheetData>
    <row r="1" spans="1:14" s="76" customFormat="1" ht="17.399999999999999" x14ac:dyDescent="0.55000000000000004">
      <c r="A1" s="75" t="s">
        <v>27</v>
      </c>
    </row>
    <row r="2" spans="1:14" s="76" customFormat="1" ht="17.399999999999999" x14ac:dyDescent="0.55000000000000004"/>
    <row r="3" spans="1:14" s="76" customFormat="1" ht="19.8" x14ac:dyDescent="0.65">
      <c r="A3" s="74" t="s">
        <v>701</v>
      </c>
    </row>
    <row r="5" spans="1:14" ht="25" customHeight="1" x14ac:dyDescent="0.55000000000000004">
      <c r="B5" s="179"/>
      <c r="C5" s="169"/>
      <c r="D5" s="169"/>
      <c r="E5" s="169"/>
      <c r="F5" s="170" t="s">
        <v>654</v>
      </c>
      <c r="G5" s="171"/>
      <c r="H5" s="171"/>
      <c r="I5" s="171"/>
      <c r="J5" s="171"/>
      <c r="K5" s="171"/>
      <c r="L5" s="171"/>
      <c r="M5" s="172" t="s">
        <v>684</v>
      </c>
      <c r="N5" s="173"/>
    </row>
    <row r="6" spans="1:14" s="31" customFormat="1" ht="25" customHeight="1" x14ac:dyDescent="0.55000000000000004">
      <c r="B6" s="178"/>
      <c r="C6" s="174" t="s">
        <v>726</v>
      </c>
      <c r="D6" s="175" t="s">
        <v>727</v>
      </c>
      <c r="E6" s="175" t="s">
        <v>728</v>
      </c>
      <c r="F6" s="175" t="s">
        <v>729</v>
      </c>
      <c r="G6" s="175" t="s">
        <v>650</v>
      </c>
      <c r="H6" s="175" t="s">
        <v>651</v>
      </c>
      <c r="I6" s="175" t="s">
        <v>652</v>
      </c>
      <c r="J6" s="175" t="s">
        <v>730</v>
      </c>
      <c r="K6" s="175" t="s">
        <v>653</v>
      </c>
      <c r="L6" s="176" t="s">
        <v>731</v>
      </c>
      <c r="M6" s="176" t="s">
        <v>652</v>
      </c>
      <c r="N6" s="177"/>
    </row>
    <row r="7" spans="1:14" s="16" customFormat="1" ht="25" customHeight="1" x14ac:dyDescent="0.5">
      <c r="B7" s="178"/>
      <c r="C7" s="110"/>
      <c r="D7" s="110"/>
      <c r="E7" s="110"/>
      <c r="F7" s="110"/>
      <c r="G7" s="110"/>
      <c r="H7" s="110"/>
      <c r="I7" s="110"/>
      <c r="J7" s="110"/>
      <c r="K7" s="110"/>
      <c r="L7" s="111"/>
      <c r="M7" s="111"/>
    </row>
    <row r="8" spans="1:14" s="32" customFormat="1" ht="25" customHeight="1" x14ac:dyDescent="0.5">
      <c r="B8" s="180" t="s">
        <v>732</v>
      </c>
      <c r="C8" s="112" t="str">
        <f>IF(C7&gt;0,C7,"")</f>
        <v/>
      </c>
      <c r="D8" s="112" t="str">
        <f>IF(D7&gt;0,D7*10^3,"")</f>
        <v/>
      </c>
      <c r="E8" s="112" t="str">
        <f>IF(E7&gt;0,E7*10^6,"")</f>
        <v/>
      </c>
      <c r="F8" s="112" t="str">
        <f>IF(F7&gt;0,F7*16.38702,"")</f>
        <v/>
      </c>
      <c r="G8" s="112" t="str">
        <f>IF(G7&gt;0,G7*568.26,"")</f>
        <v/>
      </c>
      <c r="H8" s="112" t="str">
        <f>IF(H7&gt;0,H7*1136.49,"")</f>
        <v/>
      </c>
      <c r="I8" s="112" t="str">
        <f>IF(I7&gt;0,I7*4545.96,"")</f>
        <v/>
      </c>
      <c r="J8" s="112" t="str">
        <f>IF(J7&gt;0,J7*28316.77,"")</f>
        <v/>
      </c>
      <c r="K8" s="113" t="str">
        <f>IF(K7&gt;0,K7*36347.7,"")</f>
        <v/>
      </c>
      <c r="L8" s="114" t="str">
        <f>IF(L7&gt;0,L7*764560,"")</f>
        <v/>
      </c>
      <c r="M8" s="115" t="str">
        <f>IF(M7&gt;0,M9*10^3,"")</f>
        <v/>
      </c>
    </row>
    <row r="9" spans="1:14" s="32" customFormat="1" ht="25" customHeight="1" x14ac:dyDescent="0.5">
      <c r="B9" s="181" t="s">
        <v>733</v>
      </c>
      <c r="C9" s="112" t="str">
        <f>IF(C7&gt;0,C7*10^(-3),"")</f>
        <v/>
      </c>
      <c r="D9" s="112" t="str">
        <f>IF(D7&gt;0,D7,"")</f>
        <v/>
      </c>
      <c r="E9" s="112" t="str">
        <f>IF(E7&gt;0,E7*10^3,"")</f>
        <v/>
      </c>
      <c r="F9" s="112" t="str">
        <f>IF(F7&gt;0,F7*0.01638702,"")</f>
        <v/>
      </c>
      <c r="G9" s="112" t="str">
        <f>IF(G7&gt;0,G7*0.56826,"")</f>
        <v/>
      </c>
      <c r="H9" s="112" t="str">
        <f>IF(H7&gt;0,H7*1.13649,"")</f>
        <v/>
      </c>
      <c r="I9" s="112" t="str">
        <f>IF(I7&gt;0,I7*4.54596,"")</f>
        <v/>
      </c>
      <c r="J9" s="112" t="str">
        <f>IF(J7&gt;0,J7*28.31677,"")</f>
        <v/>
      </c>
      <c r="K9" s="113" t="str">
        <f>IF(K7&gt;0,K7*36.3477,"")</f>
        <v/>
      </c>
      <c r="L9" s="114" t="str">
        <f>IF(L7&gt;0,L7*764.56,"")</f>
        <v/>
      </c>
      <c r="M9" s="114" t="str">
        <f>IF(M7&gt;0,M7*3.785306,"")</f>
        <v/>
      </c>
    </row>
    <row r="10" spans="1:14" s="32" customFormat="1" ht="25" customHeight="1" x14ac:dyDescent="0.5">
      <c r="B10" s="180" t="s">
        <v>734</v>
      </c>
      <c r="C10" s="116" t="str">
        <f>IF(C7&gt;0,C7*10^(-6),"")</f>
        <v/>
      </c>
      <c r="D10" s="116" t="str">
        <f>IF(D7&gt;0,D7*10^(-3),"")</f>
        <v/>
      </c>
      <c r="E10" s="112" t="str">
        <f>IF(E7&gt;0,E7,"")</f>
        <v/>
      </c>
      <c r="F10" s="112" t="str">
        <f>IF(F7&gt;0,F7*0.00001638702,"")</f>
        <v/>
      </c>
      <c r="G10" s="112" t="str">
        <f>IF(G7&gt;0,G7*0.00056826,"")</f>
        <v/>
      </c>
      <c r="H10" s="112" t="str">
        <f>IF(H7&gt;0,H7*0.00113649,"")</f>
        <v/>
      </c>
      <c r="I10" s="112" t="str">
        <f>IF(I7&gt;0,I7*0.00454596,"")</f>
        <v/>
      </c>
      <c r="J10" s="112" t="str">
        <f>IF(J7&gt;0,J7*0.02831677,"")</f>
        <v/>
      </c>
      <c r="K10" s="113" t="str">
        <f>IF(K7&gt;0,K7*0.0363477,"")</f>
        <v/>
      </c>
      <c r="L10" s="114" t="str">
        <f>IF(L7&gt;0,L7*0.76456,"")</f>
        <v/>
      </c>
      <c r="M10" s="115" t="str">
        <f>IF(M7&gt;0,M9*10^(-3),"")</f>
        <v/>
      </c>
    </row>
    <row r="11" spans="1:14" s="32" customFormat="1" ht="25" customHeight="1" x14ac:dyDescent="0.5">
      <c r="B11" s="180" t="s">
        <v>735</v>
      </c>
      <c r="C11" s="112" t="str">
        <f>IF(C7&gt;0,C8*0.06103,"")</f>
        <v/>
      </c>
      <c r="D11" s="112" t="str">
        <f>IF(D7&gt;0,D8*0.06103,"")</f>
        <v/>
      </c>
      <c r="E11" s="112" t="str">
        <f>IF(E7&gt;0,E8*0.06103,"")</f>
        <v/>
      </c>
      <c r="F11" s="116" t="str">
        <f>IF(F7&gt;0,F7,"")</f>
        <v/>
      </c>
      <c r="G11" s="112" t="str">
        <f t="shared" ref="G11:L11" si="0">IF(G7&gt;0,G8*0.06103,"")</f>
        <v/>
      </c>
      <c r="H11" s="112" t="str">
        <f t="shared" si="0"/>
        <v/>
      </c>
      <c r="I11" s="112" t="str">
        <f t="shared" si="0"/>
        <v/>
      </c>
      <c r="J11" s="112" t="str">
        <f t="shared" si="0"/>
        <v/>
      </c>
      <c r="K11" s="112" t="str">
        <f t="shared" si="0"/>
        <v/>
      </c>
      <c r="L11" s="115" t="str">
        <f t="shared" si="0"/>
        <v/>
      </c>
      <c r="M11" s="115" t="str">
        <f>IF(M7&gt;0,M8*0.06103,"")</f>
        <v/>
      </c>
    </row>
    <row r="12" spans="1:14" s="32" customFormat="1" ht="25" customHeight="1" x14ac:dyDescent="0.5">
      <c r="B12" s="180" t="s">
        <v>650</v>
      </c>
      <c r="C12" s="112" t="str">
        <f>IF(C7&gt;0,C9*1.75976,"")</f>
        <v/>
      </c>
      <c r="D12" s="112" t="str">
        <f>IF(D7&gt;0,D9*1.75976,"")</f>
        <v/>
      </c>
      <c r="E12" s="112" t="str">
        <f>IF(E7&gt;0,E9*1.75976,"")</f>
        <v/>
      </c>
      <c r="F12" s="112" t="str">
        <f>IF(F7&gt;0,F9*1.75976,"")</f>
        <v/>
      </c>
      <c r="G12" s="116" t="str">
        <f>IF(G7&gt;0,G7,"")</f>
        <v/>
      </c>
      <c r="H12" s="112" t="str">
        <f t="shared" ref="H12:M12" si="1">IF(H7&gt;0,H9*1.75976,"")</f>
        <v/>
      </c>
      <c r="I12" s="112" t="str">
        <f t="shared" si="1"/>
        <v/>
      </c>
      <c r="J12" s="112" t="str">
        <f t="shared" si="1"/>
        <v/>
      </c>
      <c r="K12" s="112" t="str">
        <f t="shared" si="1"/>
        <v/>
      </c>
      <c r="L12" s="115" t="str">
        <f t="shared" si="1"/>
        <v/>
      </c>
      <c r="M12" s="115" t="str">
        <f t="shared" si="1"/>
        <v/>
      </c>
    </row>
    <row r="13" spans="1:14" s="32" customFormat="1" ht="25" customHeight="1" x14ac:dyDescent="0.5">
      <c r="B13" s="180" t="s">
        <v>651</v>
      </c>
      <c r="C13" s="112" t="str">
        <f>IF(C7&gt;0,C9*0.8799,"")</f>
        <v/>
      </c>
      <c r="D13" s="112" t="str">
        <f>IF(D7&gt;0,D9*0.8799,"")</f>
        <v/>
      </c>
      <c r="E13" s="112" t="str">
        <f>IF(E7&gt;0,E9*0.8799,"")</f>
        <v/>
      </c>
      <c r="F13" s="112" t="str">
        <f>IF(F7&gt;0,F9*0.8799,"")</f>
        <v/>
      </c>
      <c r="G13" s="112" t="str">
        <f>IF(G7&gt;0,G9*0.8799,"")</f>
        <v/>
      </c>
      <c r="H13" s="116" t="str">
        <f>IF(H7&gt;0,H7,"")</f>
        <v/>
      </c>
      <c r="I13" s="112" t="str">
        <f>IF(I7&gt;0,I9*0.8799,"")</f>
        <v/>
      </c>
      <c r="J13" s="112" t="str">
        <f>IF(J7&gt;0,J9*0.8799,"")</f>
        <v/>
      </c>
      <c r="K13" s="112" t="str">
        <f>IF(K7&gt;0,K9*0.8799,"")</f>
        <v/>
      </c>
      <c r="L13" s="115" t="str">
        <f>IF(L7&gt;0,L9*0.8799,"")</f>
        <v/>
      </c>
      <c r="M13" s="115" t="str">
        <f>IF(M7&gt;0,M9*0.8799,"")</f>
        <v/>
      </c>
    </row>
    <row r="14" spans="1:14" s="32" customFormat="1" ht="25" customHeight="1" x14ac:dyDescent="0.5">
      <c r="B14" s="180" t="s">
        <v>686</v>
      </c>
      <c r="C14" s="112" t="str">
        <f t="shared" ref="C14:H14" si="2">IF(C7&gt;0,C9*0.21997,"")</f>
        <v/>
      </c>
      <c r="D14" s="112" t="str">
        <f t="shared" si="2"/>
        <v/>
      </c>
      <c r="E14" s="112" t="str">
        <f t="shared" si="2"/>
        <v/>
      </c>
      <c r="F14" s="112" t="str">
        <f t="shared" si="2"/>
        <v/>
      </c>
      <c r="G14" s="112" t="str">
        <f t="shared" si="2"/>
        <v/>
      </c>
      <c r="H14" s="112" t="str">
        <f t="shared" si="2"/>
        <v/>
      </c>
      <c r="I14" s="116" t="str">
        <f>IF(I7&gt;0,I7,"")</f>
        <v/>
      </c>
      <c r="J14" s="112" t="str">
        <f>IF(J7&gt;0,J9*0.21997,"")</f>
        <v/>
      </c>
      <c r="K14" s="112" t="str">
        <f>IF(K7&gt;0,K9*0.21997,"")</f>
        <v/>
      </c>
      <c r="L14" s="115" t="str">
        <f>IF(L7&gt;0,L9*0.21997,"")</f>
        <v/>
      </c>
      <c r="M14" s="115" t="str">
        <f>IF(M7&gt;0,M9*0.21997,"")</f>
        <v/>
      </c>
    </row>
    <row r="15" spans="1:14" s="32" customFormat="1" ht="25" customHeight="1" x14ac:dyDescent="0.5">
      <c r="B15" s="181" t="s">
        <v>736</v>
      </c>
      <c r="C15" s="112" t="str">
        <f t="shared" ref="C15:I15" si="3">IF(C7&gt;0,C9*0.03531,"")</f>
        <v/>
      </c>
      <c r="D15" s="112" t="str">
        <f t="shared" si="3"/>
        <v/>
      </c>
      <c r="E15" s="112" t="str">
        <f t="shared" si="3"/>
        <v/>
      </c>
      <c r="F15" s="112" t="str">
        <f t="shared" si="3"/>
        <v/>
      </c>
      <c r="G15" s="112" t="str">
        <f t="shared" si="3"/>
        <v/>
      </c>
      <c r="H15" s="112" t="str">
        <f t="shared" si="3"/>
        <v/>
      </c>
      <c r="I15" s="112" t="str">
        <f t="shared" si="3"/>
        <v/>
      </c>
      <c r="J15" s="116" t="str">
        <f>IF(J7&gt;0,J7,"")</f>
        <v/>
      </c>
      <c r="K15" s="112" t="str">
        <f>IF(K7&gt;0,K9*0.03531,"")</f>
        <v/>
      </c>
      <c r="L15" s="115" t="str">
        <f>IF(L7&gt;0,L9*0.03531,"")</f>
        <v/>
      </c>
      <c r="M15" s="115" t="str">
        <f>IF(M7&gt;0,M9*0.03531,"")</f>
        <v/>
      </c>
    </row>
    <row r="16" spans="1:14" s="31" customFormat="1" ht="25" customHeight="1" x14ac:dyDescent="0.55000000000000004">
      <c r="B16" s="181" t="s">
        <v>653</v>
      </c>
      <c r="C16" s="113" t="str">
        <f t="shared" ref="C16:J16" si="4">IF(C7&gt;0,C9*0.02751,"")</f>
        <v/>
      </c>
      <c r="D16" s="113" t="str">
        <f t="shared" si="4"/>
        <v/>
      </c>
      <c r="E16" s="113" t="str">
        <f t="shared" si="4"/>
        <v/>
      </c>
      <c r="F16" s="113" t="str">
        <f t="shared" si="4"/>
        <v/>
      </c>
      <c r="G16" s="113" t="str">
        <f t="shared" si="4"/>
        <v/>
      </c>
      <c r="H16" s="113" t="str">
        <f t="shared" si="4"/>
        <v/>
      </c>
      <c r="I16" s="113" t="str">
        <f t="shared" si="4"/>
        <v/>
      </c>
      <c r="J16" s="113" t="str">
        <f t="shared" si="4"/>
        <v/>
      </c>
      <c r="K16" s="112" t="str">
        <f>IF(K7&gt;0,K7,"")</f>
        <v/>
      </c>
      <c r="L16" s="113" t="str">
        <f>IF(L7&gt;0,L9*0.02751,"")</f>
        <v/>
      </c>
      <c r="M16" s="114" t="str">
        <f>IF(M7&gt;0,M9*0.02751,"")</f>
        <v/>
      </c>
    </row>
    <row r="17" spans="2:13" s="31" customFormat="1" ht="25" customHeight="1" x14ac:dyDescent="0.55000000000000004">
      <c r="B17" s="181" t="s">
        <v>737</v>
      </c>
      <c r="C17" s="113" t="str">
        <f t="shared" ref="C17:K17" si="5">IF(C7&gt;0,C10*1.30794,"")</f>
        <v/>
      </c>
      <c r="D17" s="113" t="str">
        <f t="shared" si="5"/>
        <v/>
      </c>
      <c r="E17" s="113" t="str">
        <f t="shared" si="5"/>
        <v/>
      </c>
      <c r="F17" s="113" t="str">
        <f t="shared" si="5"/>
        <v/>
      </c>
      <c r="G17" s="113" t="str">
        <f t="shared" si="5"/>
        <v/>
      </c>
      <c r="H17" s="113" t="str">
        <f t="shared" si="5"/>
        <v/>
      </c>
      <c r="I17" s="113" t="str">
        <f t="shared" si="5"/>
        <v/>
      </c>
      <c r="J17" s="113" t="str">
        <f t="shared" si="5"/>
        <v/>
      </c>
      <c r="K17" s="113" t="str">
        <f t="shared" si="5"/>
        <v/>
      </c>
      <c r="L17" s="112" t="str">
        <f>IF(L7&gt;0,L7,"")</f>
        <v/>
      </c>
      <c r="M17" s="114" t="str">
        <f>IF(M7&gt;0,M10*1.30794,"")</f>
        <v/>
      </c>
    </row>
    <row r="18" spans="2:13" s="31" customFormat="1" ht="24.75" customHeight="1" x14ac:dyDescent="0.55000000000000004">
      <c r="B18" s="159" t="s">
        <v>685</v>
      </c>
      <c r="C18" s="117" t="str">
        <f>IF(C7="","",C9/3.785306)</f>
        <v/>
      </c>
      <c r="D18" s="117" t="str">
        <f t="shared" ref="D18:L18" si="6">IF(D7="","",D9/3.785306)</f>
        <v/>
      </c>
      <c r="E18" s="117" t="str">
        <f t="shared" si="6"/>
        <v/>
      </c>
      <c r="F18" s="117" t="str">
        <f t="shared" si="6"/>
        <v/>
      </c>
      <c r="G18" s="117" t="str">
        <f t="shared" si="6"/>
        <v/>
      </c>
      <c r="H18" s="117" t="str">
        <f t="shared" si="6"/>
        <v/>
      </c>
      <c r="I18" s="117" t="str">
        <f t="shared" si="6"/>
        <v/>
      </c>
      <c r="J18" s="117" t="str">
        <f t="shared" si="6"/>
        <v/>
      </c>
      <c r="K18" s="117" t="str">
        <f t="shared" si="6"/>
        <v/>
      </c>
      <c r="L18" s="117" t="str">
        <f t="shared" si="6"/>
        <v/>
      </c>
      <c r="M18" s="118" t="str">
        <f>IF(M7&gt;0,M7,"")</f>
        <v/>
      </c>
    </row>
    <row r="19" spans="2:13" ht="17.399999999999999" x14ac:dyDescent="0.55000000000000004">
      <c r="B19" s="182"/>
    </row>
  </sheetData>
  <sheetProtection sheet="1" objects="1" scenarios="1"/>
  <mergeCells count="2">
    <mergeCell ref="F5:L5"/>
    <mergeCell ref="M5:N5"/>
  </mergeCells>
  <hyperlinks>
    <hyperlink ref="A1" location="'Spis treści'!A1" display="'Spis treści'!A1" xr:uid="{00000000-0004-0000-0600-000000000000}"/>
  </hyperlink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11"/>
  <dimension ref="A1:H14"/>
  <sheetViews>
    <sheetView workbookViewId="0">
      <selection activeCell="C8" sqref="C8"/>
    </sheetView>
  </sheetViews>
  <sheetFormatPr defaultColWidth="17.71875" defaultRowHeight="17.7" x14ac:dyDescent="0.6"/>
  <cols>
    <col min="1" max="1" width="3.1640625" style="37" customWidth="1"/>
    <col min="2" max="2" width="12.71875" style="42" customWidth="1"/>
    <col min="3" max="8" width="12.71875" style="37" customWidth="1"/>
    <col min="9" max="16384" width="17.71875" style="37"/>
  </cols>
  <sheetData>
    <row r="1" spans="1:8" s="76" customFormat="1" ht="17.399999999999999" x14ac:dyDescent="0.55000000000000004">
      <c r="A1" s="75" t="s">
        <v>27</v>
      </c>
    </row>
    <row r="2" spans="1:8" s="76" customFormat="1" ht="17.399999999999999" x14ac:dyDescent="0.55000000000000004"/>
    <row r="3" spans="1:8" s="76" customFormat="1" ht="19.8" x14ac:dyDescent="0.65">
      <c r="A3" s="74" t="s">
        <v>702</v>
      </c>
    </row>
    <row r="6" spans="1:8" ht="17.399999999999999" x14ac:dyDescent="0.55000000000000004">
      <c r="B6" s="183"/>
      <c r="C6" s="183"/>
      <c r="D6" s="183"/>
      <c r="E6" s="183"/>
      <c r="F6" s="184" t="s">
        <v>654</v>
      </c>
      <c r="G6" s="185"/>
      <c r="H6" s="185"/>
    </row>
    <row r="7" spans="1:8" s="42" customFormat="1" ht="25" customHeight="1" x14ac:dyDescent="0.6">
      <c r="B7" s="188"/>
      <c r="C7" s="186" t="s">
        <v>638</v>
      </c>
      <c r="D7" s="186" t="s">
        <v>354</v>
      </c>
      <c r="E7" s="186" t="s">
        <v>659</v>
      </c>
      <c r="F7" s="186" t="s">
        <v>656</v>
      </c>
      <c r="G7" s="186" t="s">
        <v>657</v>
      </c>
      <c r="H7" s="187" t="s">
        <v>658</v>
      </c>
    </row>
    <row r="8" spans="1:8" ht="25" customHeight="1" x14ac:dyDescent="0.55000000000000004">
      <c r="B8" s="189"/>
      <c r="C8" s="93"/>
      <c r="D8" s="93"/>
      <c r="E8" s="93"/>
      <c r="F8" s="93"/>
      <c r="G8" s="93"/>
      <c r="H8" s="94"/>
    </row>
    <row r="9" spans="1:8" ht="25" customHeight="1" x14ac:dyDescent="0.55000000000000004">
      <c r="B9" s="189" t="s">
        <v>638</v>
      </c>
      <c r="C9" s="119" t="str">
        <f>IF(C8&gt;0,C8,"")</f>
        <v/>
      </c>
      <c r="D9" s="119" t="str">
        <f>IF(D8&gt;0,D8*10^3,"")</f>
        <v/>
      </c>
      <c r="E9" s="119" t="str">
        <f>IF(E8&gt;0,E8*10^6,"")</f>
        <v/>
      </c>
      <c r="F9" s="119" t="str">
        <f>IF(F8&gt;0,F8*28.34953,"")</f>
        <v/>
      </c>
      <c r="G9" s="119" t="str">
        <f>IF(G8&gt;0,G8*453.592428,"")</f>
        <v/>
      </c>
      <c r="H9" s="120" t="str">
        <f>IF(H8&gt;0,H8*1016050,"")</f>
        <v/>
      </c>
    </row>
    <row r="10" spans="1:8" ht="25" customHeight="1" x14ac:dyDescent="0.55000000000000004">
      <c r="B10" s="189" t="s">
        <v>354</v>
      </c>
      <c r="C10" s="119" t="str">
        <f>IF(C8&gt;0,C8*10^(-3),"")</f>
        <v/>
      </c>
      <c r="D10" s="119" t="str">
        <f>IF(D8&gt;0,D8,"")</f>
        <v/>
      </c>
      <c r="E10" s="119" t="str">
        <f>IF(E8&gt;0,E8*10^3,"")</f>
        <v/>
      </c>
      <c r="F10" s="119" t="str">
        <f>IF(F8&gt;0,F8*0.02834953,"")</f>
        <v/>
      </c>
      <c r="G10" s="119" t="str">
        <f>IF(G8&gt;0,G8*0.453592428,"")</f>
        <v/>
      </c>
      <c r="H10" s="120" t="str">
        <f>IF(H8&gt;0,H8*1016.05,"")</f>
        <v/>
      </c>
    </row>
    <row r="11" spans="1:8" ht="25" customHeight="1" x14ac:dyDescent="0.55000000000000004">
      <c r="B11" s="189" t="s">
        <v>659</v>
      </c>
      <c r="C11" s="119" t="str">
        <f>IF(C8&gt;0,C8*10^(-6),"")</f>
        <v/>
      </c>
      <c r="D11" s="119" t="str">
        <f>IF(D8&gt;0,D8*10^(-3),"")</f>
        <v/>
      </c>
      <c r="E11" s="119" t="str">
        <f>IF(E8&gt;0,E8,"")</f>
        <v/>
      </c>
      <c r="F11" s="119" t="str">
        <f>IF(F8&gt;0,F8*0.00002834953,"")</f>
        <v/>
      </c>
      <c r="G11" s="119" t="str">
        <f>IF(G8&gt;0,G8*0.000453592428,"")</f>
        <v/>
      </c>
      <c r="H11" s="120" t="str">
        <f>IF(H8&gt;0,H8*1.01605,"")</f>
        <v/>
      </c>
    </row>
    <row r="12" spans="1:8" ht="25" customHeight="1" x14ac:dyDescent="0.55000000000000004">
      <c r="B12" s="189" t="s">
        <v>656</v>
      </c>
      <c r="C12" s="119" t="str">
        <f>IF(C8&gt;0,C8*0.0353,"")</f>
        <v/>
      </c>
      <c r="D12" s="119" t="str">
        <f>IF(D8&gt;0,D9*0.0353,"")</f>
        <v/>
      </c>
      <c r="E12" s="119" t="str">
        <f>IF(E8&gt;0,E9*0.0353,"")</f>
        <v/>
      </c>
      <c r="F12" s="119" t="str">
        <f>IF(F8&gt;0,F8,"")</f>
        <v/>
      </c>
      <c r="G12" s="119" t="str">
        <f>IF(G8&gt;0,G9*0.0353,"")</f>
        <v/>
      </c>
      <c r="H12" s="120" t="str">
        <f>IF(H8&gt;0,H9*0.0353,"")</f>
        <v/>
      </c>
    </row>
    <row r="13" spans="1:8" ht="25" customHeight="1" x14ac:dyDescent="0.55000000000000004">
      <c r="B13" s="189" t="s">
        <v>657</v>
      </c>
      <c r="C13" s="119" t="str">
        <f>IF(C8&gt;0,C10*2.20462233994,"")</f>
        <v/>
      </c>
      <c r="D13" s="119" t="str">
        <f>IF(D8&gt;0,D10*2.20462233994,"")</f>
        <v/>
      </c>
      <c r="E13" s="119" t="str">
        <f>IF(E8&gt;0,E10*2.20462233994,"")</f>
        <v/>
      </c>
      <c r="F13" s="119" t="str">
        <f>IF(F8&gt;0,F10*2.20462233994,"")</f>
        <v/>
      </c>
      <c r="G13" s="119" t="str">
        <f>IF(G8&gt;0,G8,"")</f>
        <v/>
      </c>
      <c r="H13" s="120" t="str">
        <f>IF(H8&gt;0,H10*2.20462233994,"")</f>
        <v/>
      </c>
    </row>
    <row r="14" spans="1:8" ht="17.399999999999999" x14ac:dyDescent="0.55000000000000004">
      <c r="B14" s="188" t="s">
        <v>658</v>
      </c>
      <c r="C14" s="121" t="str">
        <f>IF(C8&gt;0,C11*0.98421,"")</f>
        <v/>
      </c>
      <c r="D14" s="121" t="str">
        <f>IF(D8&gt;0,D11*0.98421,"")</f>
        <v/>
      </c>
      <c r="E14" s="121" t="str">
        <f>IF(E8&gt;0,E11*0.98421,"")</f>
        <v/>
      </c>
      <c r="F14" s="121" t="str">
        <f>IF(F8&gt;0,F11*0.98421,"")</f>
        <v/>
      </c>
      <c r="G14" s="121" t="str">
        <f>IF(G8&gt;0,G11*0.98421,"")</f>
        <v/>
      </c>
      <c r="H14" s="122" t="str">
        <f>IF(H8&gt;0,H8,"")</f>
        <v/>
      </c>
    </row>
  </sheetData>
  <sheetProtection sheet="1" objects="1" scenarios="1"/>
  <mergeCells count="1">
    <mergeCell ref="F6:H6"/>
  </mergeCells>
  <hyperlinks>
    <hyperlink ref="A1" location="'Spis treści'!A1" display="'Spis treści'!A1" xr:uid="{00000000-0004-0000-0700-000000000000}"/>
  </hyperlink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2"/>
  <dimension ref="A1:L20"/>
  <sheetViews>
    <sheetView workbookViewId="0">
      <selection activeCell="C7" sqref="C7"/>
    </sheetView>
  </sheetViews>
  <sheetFormatPr defaultColWidth="15.71875" defaultRowHeight="17.399999999999999" x14ac:dyDescent="0.55000000000000004"/>
  <cols>
    <col min="1" max="1" width="1.27734375" style="37" customWidth="1"/>
    <col min="2" max="2" width="19.1640625" style="37" customWidth="1"/>
    <col min="3" max="4" width="16.71875" style="37" customWidth="1"/>
    <col min="5" max="5" width="19.5546875" style="37" customWidth="1"/>
    <col min="6" max="9" width="16.71875" style="37" customWidth="1"/>
    <col min="10" max="16384" width="15.71875" style="37"/>
  </cols>
  <sheetData>
    <row r="1" spans="1:12" s="76" customFormat="1" x14ac:dyDescent="0.55000000000000004">
      <c r="A1" s="75" t="s">
        <v>27</v>
      </c>
    </row>
    <row r="2" spans="1:12" s="76" customFormat="1" x14ac:dyDescent="0.55000000000000004"/>
    <row r="3" spans="1:12" s="76" customFormat="1" ht="19.8" x14ac:dyDescent="0.65">
      <c r="A3" s="74" t="s">
        <v>703</v>
      </c>
    </row>
    <row r="6" spans="1:12" s="43" customFormat="1" ht="30" customHeight="1" x14ac:dyDescent="0.5">
      <c r="B6" s="190"/>
      <c r="C6" s="190" t="s">
        <v>677</v>
      </c>
      <c r="D6" s="191" t="s">
        <v>678</v>
      </c>
      <c r="E6" s="190" t="s">
        <v>679</v>
      </c>
      <c r="F6" s="191" t="s">
        <v>680</v>
      </c>
      <c r="G6" s="191" t="s">
        <v>464</v>
      </c>
      <c r="H6" s="191" t="s">
        <v>681</v>
      </c>
      <c r="I6" s="192" t="s">
        <v>682</v>
      </c>
      <c r="J6" s="44"/>
      <c r="K6" s="44"/>
      <c r="L6" s="44"/>
    </row>
    <row r="7" spans="1:12" s="45" customFormat="1" ht="30" customHeight="1" x14ac:dyDescent="0.6">
      <c r="B7" s="196"/>
      <c r="C7" s="123"/>
      <c r="D7" s="123"/>
      <c r="E7" s="124"/>
      <c r="F7" s="125"/>
      <c r="G7" s="124"/>
      <c r="H7" s="124"/>
      <c r="I7" s="126"/>
      <c r="J7" s="46"/>
      <c r="K7" s="46"/>
      <c r="L7" s="46"/>
    </row>
    <row r="8" spans="1:12" s="45" customFormat="1" ht="30" customHeight="1" x14ac:dyDescent="0.55000000000000004">
      <c r="B8" s="194" t="s">
        <v>677</v>
      </c>
      <c r="C8" s="127" t="str">
        <f>IF(C7="","",C7)</f>
        <v/>
      </c>
      <c r="D8" s="127" t="str">
        <f>IF(D7="","",D7*10^3)</f>
        <v/>
      </c>
      <c r="E8" s="127" t="str">
        <f>IF(E7="","",E7*3.6*10^6)</f>
        <v/>
      </c>
      <c r="F8" s="127" t="str">
        <f>IF(F7="","",F7*1.60219*10^(-19))</f>
        <v/>
      </c>
      <c r="G8" s="127" t="str">
        <f>IF(G7="","",G7*10^(-7))</f>
        <v/>
      </c>
      <c r="H8" s="127" t="str">
        <f>IF(H7="","",H7)</f>
        <v/>
      </c>
      <c r="I8" s="128" t="str">
        <f>IF(I7="","",I7*4.1868)</f>
        <v/>
      </c>
      <c r="J8" s="47"/>
      <c r="K8" s="47"/>
      <c r="L8" s="47"/>
    </row>
    <row r="9" spans="1:12" s="45" customFormat="1" ht="30" customHeight="1" x14ac:dyDescent="0.55000000000000004">
      <c r="B9" s="194" t="s">
        <v>678</v>
      </c>
      <c r="C9" s="127" t="str">
        <f>IF(C7="","",C7*10^(-3))</f>
        <v/>
      </c>
      <c r="D9" s="127" t="str">
        <f>IF(D7="","",D7)</f>
        <v/>
      </c>
      <c r="E9" s="127" t="str">
        <f>IF(E7="","",E8*10^(-3))</f>
        <v/>
      </c>
      <c r="F9" s="127" t="str">
        <f>IF(F7="","",F8*10^(-3))</f>
        <v/>
      </c>
      <c r="G9" s="127" t="str">
        <f>IF(G7="","",G8*10^(-3))</f>
        <v/>
      </c>
      <c r="H9" s="127" t="str">
        <f>IF(H7="","",H7*10^(-3))</f>
        <v/>
      </c>
      <c r="I9" s="128" t="str">
        <f>IF(I7="","",I8*10^(-3))</f>
        <v/>
      </c>
      <c r="J9" s="47"/>
      <c r="K9" s="47"/>
      <c r="L9" s="47"/>
    </row>
    <row r="10" spans="1:12" s="45" customFormat="1" ht="30" customHeight="1" x14ac:dyDescent="0.55000000000000004">
      <c r="B10" s="194" t="s">
        <v>679</v>
      </c>
      <c r="C10" s="127" t="str">
        <f>IF(C7="","",C7/(3.6*10^6))</f>
        <v/>
      </c>
      <c r="D10" s="127" t="str">
        <f>IF(D7="","",D8/(3.6*10^6))</f>
        <v/>
      </c>
      <c r="E10" s="127" t="str">
        <f>IF(E7="","",E7)</f>
        <v/>
      </c>
      <c r="F10" s="127" t="str">
        <f>IF(F7="","",F8/(3.6*10^6))</f>
        <v/>
      </c>
      <c r="G10" s="127" t="str">
        <f>IF(G7="","",G8/(3.6*10^6))</f>
        <v/>
      </c>
      <c r="H10" s="127" t="str">
        <f>IF(H7="","",H7/(3.6*10^6))</f>
        <v/>
      </c>
      <c r="I10" s="128" t="str">
        <f>IF(I7="","",I8/(3.6*10^6))</f>
        <v/>
      </c>
      <c r="J10" s="47"/>
      <c r="K10" s="47"/>
      <c r="L10" s="47"/>
    </row>
    <row r="11" spans="1:12" s="45" customFormat="1" ht="30" customHeight="1" x14ac:dyDescent="0.55000000000000004">
      <c r="B11" s="194" t="s">
        <v>680</v>
      </c>
      <c r="C11" s="127" t="str">
        <f>IF(C7="","",C7/(1.60219*10^(-19)))</f>
        <v/>
      </c>
      <c r="D11" s="127" t="str">
        <f>IF(D7="","",D8/(1.60219*10^(-19)))</f>
        <v/>
      </c>
      <c r="E11" s="127" t="str">
        <f>IF(E7="","",E8/(1.60219*10^(-19)))</f>
        <v/>
      </c>
      <c r="F11" s="127" t="str">
        <f>IF(F7="","",F7)</f>
        <v/>
      </c>
      <c r="G11" s="127" t="str">
        <f>IF(G7="","",G8/(1.60219*10^(-19)))</f>
        <v/>
      </c>
      <c r="H11" s="127" t="str">
        <f>IF(H7="","",H7/(1.60219*10^(-19)))</f>
        <v/>
      </c>
      <c r="I11" s="128" t="str">
        <f>IF(I7="","",I8/(1.60219*10^(-19)))</f>
        <v/>
      </c>
      <c r="J11" s="47"/>
      <c r="K11" s="47"/>
      <c r="L11" s="47"/>
    </row>
    <row r="12" spans="1:12" s="45" customFormat="1" ht="30" customHeight="1" x14ac:dyDescent="0.55000000000000004">
      <c r="B12" s="194" t="s">
        <v>464</v>
      </c>
      <c r="C12" s="127" t="str">
        <f>IF(C7="","",C7/10^(-7))</f>
        <v/>
      </c>
      <c r="D12" s="127" t="str">
        <f>IF(D7="","",D8/10^(-7))</f>
        <v/>
      </c>
      <c r="E12" s="127" t="str">
        <f>IF(E7="","",E8/10^(-7))</f>
        <v/>
      </c>
      <c r="F12" s="127" t="str">
        <f>IF(F7="","",F8/10^(-7))</f>
        <v/>
      </c>
      <c r="G12" s="127" t="str">
        <f>IF(G7="","",G7)</f>
        <v/>
      </c>
      <c r="H12" s="127" t="str">
        <f>IF(H7="","",H7/10^(-7))</f>
        <v/>
      </c>
      <c r="I12" s="128" t="str">
        <f>IF(I7="","",I8/10^(-7))</f>
        <v/>
      </c>
      <c r="J12" s="47"/>
      <c r="K12" s="47"/>
      <c r="L12" s="47"/>
    </row>
    <row r="13" spans="1:12" s="45" customFormat="1" ht="30" customHeight="1" x14ac:dyDescent="0.55000000000000004">
      <c r="B13" s="194" t="s">
        <v>681</v>
      </c>
      <c r="C13" s="127" t="str">
        <f>IF(C7="","",C7)</f>
        <v/>
      </c>
      <c r="D13" s="127" t="str">
        <f>IF(D7="","",D8)</f>
        <v/>
      </c>
      <c r="E13" s="127" t="str">
        <f>IF(E7="","",E8)</f>
        <v/>
      </c>
      <c r="F13" s="127" t="str">
        <f>IF(F7="","",F8)</f>
        <v/>
      </c>
      <c r="G13" s="127" t="str">
        <f>IF(G7="","",G8)</f>
        <v/>
      </c>
      <c r="H13" s="127" t="str">
        <f>IF(H7="","",H7)</f>
        <v/>
      </c>
      <c r="I13" s="128" t="str">
        <f>IF(I7="","",I8)</f>
        <v/>
      </c>
      <c r="J13" s="47"/>
      <c r="K13" s="47"/>
      <c r="L13" s="47"/>
    </row>
    <row r="14" spans="1:12" s="45" customFormat="1" ht="30" customHeight="1" x14ac:dyDescent="0.55000000000000004">
      <c r="B14" s="195" t="s">
        <v>682</v>
      </c>
      <c r="C14" s="129" t="str">
        <f>IF(C7="","",C7/4.1868)</f>
        <v/>
      </c>
      <c r="D14" s="129" t="str">
        <f>IF(D7="","",D8/4.1868)</f>
        <v/>
      </c>
      <c r="E14" s="129" t="str">
        <f>IF(E7="","",E8/4.1868)</f>
        <v/>
      </c>
      <c r="F14" s="129" t="str">
        <f>IF(F7="","",F8/4.1868)</f>
        <v/>
      </c>
      <c r="G14" s="129" t="str">
        <f>IF(G7="","",G8/4.1868)</f>
        <v/>
      </c>
      <c r="H14" s="129" t="str">
        <f>IF(H7="","",H7/4.1868)</f>
        <v/>
      </c>
      <c r="I14" s="130" t="str">
        <f>IF(I7="","",I7)</f>
        <v/>
      </c>
      <c r="J14" s="47"/>
      <c r="K14" s="47"/>
      <c r="L14" s="47"/>
    </row>
    <row r="15" spans="1:12" s="45" customFormat="1" ht="30" customHeight="1" x14ac:dyDescent="0.55000000000000004">
      <c r="B15" s="44"/>
      <c r="C15" s="47"/>
      <c r="D15" s="47"/>
      <c r="E15" s="47"/>
      <c r="F15" s="47"/>
      <c r="G15" s="47"/>
      <c r="H15" s="47"/>
      <c r="I15" s="47"/>
      <c r="J15" s="47"/>
      <c r="K15" s="47"/>
      <c r="L15" s="47"/>
    </row>
    <row r="16" spans="1:12" s="45" customFormat="1" ht="25" customHeight="1" x14ac:dyDescent="0.55000000000000004">
      <c r="B16" s="48"/>
      <c r="C16" s="47"/>
      <c r="D16" s="47"/>
      <c r="E16" s="47"/>
      <c r="F16" s="47"/>
      <c r="G16" s="47"/>
      <c r="H16" s="47"/>
      <c r="I16" s="47"/>
      <c r="J16" s="47"/>
      <c r="K16" s="47"/>
      <c r="L16" s="47"/>
    </row>
    <row r="17" spans="2:12" s="45" customFormat="1" ht="25" customHeight="1" x14ac:dyDescent="0.55000000000000004">
      <c r="B17" s="48"/>
      <c r="C17" s="47"/>
      <c r="D17" s="47"/>
      <c r="E17" s="47"/>
      <c r="F17" s="47"/>
      <c r="G17" s="47"/>
      <c r="H17" s="47"/>
      <c r="I17" s="47"/>
      <c r="J17" s="47"/>
      <c r="K17" s="47"/>
      <c r="L17" s="47"/>
    </row>
    <row r="18" spans="2:12" s="45" customFormat="1" x14ac:dyDescent="0.55000000000000004"/>
    <row r="19" spans="2:12" s="45" customFormat="1" x14ac:dyDescent="0.55000000000000004"/>
    <row r="20" spans="2:12" s="45" customFormat="1" x14ac:dyDescent="0.55000000000000004"/>
  </sheetData>
  <sheetProtection sheet="1" objects="1" scenarios="1"/>
  <hyperlinks>
    <hyperlink ref="A1" location="'Spis treści'!A1" display="'Spis treści'!A1" xr:uid="{00000000-0004-0000-0800-000000000000}"/>
  </hyperlink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21</vt:i4>
      </vt:variant>
    </vt:vector>
  </HeadingPairs>
  <TitlesOfParts>
    <vt:vector size="21" baseType="lpstr">
      <vt:lpstr>Spis treści</vt:lpstr>
      <vt:lpstr>Prędkość</vt:lpstr>
      <vt:lpstr>Odległość</vt:lpstr>
      <vt:lpstr>Ciśnienie</vt:lpstr>
      <vt:lpstr>Temperatura</vt:lpstr>
      <vt:lpstr>Powierzchnia</vt:lpstr>
      <vt:lpstr>Pojemność</vt:lpstr>
      <vt:lpstr>Masa</vt:lpstr>
      <vt:lpstr>Energia</vt:lpstr>
      <vt:lpstr>Siła</vt:lpstr>
      <vt:lpstr>Moc</vt:lpstr>
      <vt:lpstr>Kąty</vt:lpstr>
      <vt:lpstr>Przedrostki</vt:lpstr>
      <vt:lpstr>Stałe</vt:lpstr>
      <vt:lpstr>Beaufort</vt:lpstr>
      <vt:lpstr>Widzialność</vt:lpstr>
      <vt:lpstr>SI</vt:lpstr>
      <vt:lpstr>Nie SI</vt:lpstr>
      <vt:lpstr>Północne</vt:lpstr>
      <vt:lpstr>Południowe</vt:lpstr>
      <vt:lpstr>Róża wiatrów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Tablice</dc:title>
  <dc:creator>Krzysztof Klejna</dc:creator>
  <cp:lastModifiedBy>Krzysztof Klejna</cp:lastModifiedBy>
  <dcterms:created xsi:type="dcterms:W3CDTF">2001-01-08T16:31:08Z</dcterms:created>
  <dcterms:modified xsi:type="dcterms:W3CDTF">2021-05-02T18:21:10Z</dcterms:modified>
</cp:coreProperties>
</file>